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S2\"/>
    </mc:Choice>
  </mc:AlternateContent>
  <xr:revisionPtr revIDLastSave="0" documentId="13_ncr:1_{9FAEB36C-B780-4A5D-A02C-59BE6E8D9EAC}" xr6:coauthVersionLast="45" xr6:coauthVersionMax="47" xr10:uidLastSave="{00000000-0000-0000-0000-000000000000}"/>
  <bookViews>
    <workbookView xWindow="-110" yWindow="-110" windowWidth="19420" windowHeight="10560" tabRatio="841" firstSheet="3" activeTab="5" xr2:uid="{00000000-000D-0000-FFFF-FFFF00000000}"/>
  </bookViews>
  <sheets>
    <sheet name="Metode Pengambilan Data" sheetId="29" r:id="rId1"/>
    <sheet name="Uji Sensitivitas" sheetId="28" r:id="rId2"/>
    <sheet name="Kualitas Data" sheetId="25" r:id="rId3"/>
    <sheet name="Pareto Rules" sheetId="24" r:id="rId4"/>
    <sheet name="Inventori" sheetId="2" r:id="rId5"/>
    <sheet name="Unit Fungsi" sheetId="3" r:id="rId6"/>
    <sheet name="GWP" sheetId="6" r:id="rId7"/>
    <sheet name="ODP" sheetId="7" r:id="rId8"/>
    <sheet name="AP" sheetId="9" r:id="rId9"/>
    <sheet name="EP" sheetId="10" r:id="rId10"/>
    <sheet name="Utilitas" sheetId="13" r:id="rId11"/>
    <sheet name="UT Unit Fungsi" sheetId="14" r:id="rId12"/>
    <sheet name="UT GWP" sheetId="17" r:id="rId13"/>
    <sheet name="UT ODP" sheetId="18" r:id="rId14"/>
    <sheet name="UT EP" sheetId="21" r:id="rId15"/>
    <sheet name="UT AP" sheetId="20" r:id="rId16"/>
    <sheet name="CF" sheetId="23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33" roundtripDataSignature="AMtx7mi4JX6JHHjFbiN0pvegxoir9fnQmA=="/>
    </ext>
  </extLst>
</workbook>
</file>

<file path=xl/calcChain.xml><?xml version="1.0" encoding="utf-8"?>
<calcChain xmlns="http://schemas.openxmlformats.org/spreadsheetml/2006/main">
  <c r="E33" i="21" l="1"/>
  <c r="E31" i="21"/>
  <c r="E30" i="21"/>
  <c r="E32" i="21"/>
  <c r="E34" i="20"/>
  <c r="E58" i="10"/>
  <c r="E57" i="10"/>
  <c r="E56" i="10"/>
  <c r="E55" i="10"/>
  <c r="E54" i="10"/>
  <c r="E53" i="10"/>
  <c r="E52" i="10"/>
  <c r="E51" i="10"/>
  <c r="E59" i="10" s="1"/>
  <c r="E58" i="9"/>
  <c r="E57" i="9"/>
  <c r="E56" i="9"/>
  <c r="E55" i="9"/>
  <c r="E54" i="9"/>
  <c r="E53" i="9"/>
  <c r="E52" i="9"/>
  <c r="E51" i="9"/>
  <c r="E59" i="9" s="1"/>
  <c r="E58" i="7"/>
  <c r="E57" i="7"/>
  <c r="E56" i="7"/>
  <c r="E55" i="7"/>
  <c r="E54" i="7"/>
  <c r="E53" i="7"/>
  <c r="E52" i="7"/>
  <c r="E51" i="7"/>
  <c r="E59" i="7" s="1"/>
  <c r="E34" i="18"/>
  <c r="E34" i="17"/>
  <c r="E57" i="6"/>
  <c r="E56" i="6"/>
  <c r="E55" i="6"/>
  <c r="E58" i="6"/>
  <c r="H39" i="6"/>
  <c r="M39" i="6"/>
  <c r="B31" i="17"/>
  <c r="E51" i="6"/>
  <c r="E34" i="21" l="1"/>
  <c r="E59" i="6"/>
  <c r="B52" i="10" l="1"/>
  <c r="B52" i="9"/>
  <c r="B52" i="7"/>
  <c r="B52" i="6"/>
  <c r="AF48" i="10" l="1"/>
  <c r="AI48" i="10" s="1"/>
  <c r="AI47" i="10"/>
  <c r="AF47" i="10"/>
  <c r="AF46" i="10"/>
  <c r="AI46" i="10" s="1"/>
  <c r="AF45" i="10"/>
  <c r="AI45" i="10" s="1"/>
  <c r="AF44" i="10"/>
  <c r="AI44" i="10" s="1"/>
  <c r="E44" i="10"/>
  <c r="AI43" i="10"/>
  <c r="AF43" i="10"/>
  <c r="E43" i="10"/>
  <c r="AF42" i="10"/>
  <c r="AI42" i="10" s="1"/>
  <c r="E42" i="10"/>
  <c r="AF41" i="10"/>
  <c r="AI41" i="10" s="1"/>
  <c r="E41" i="10"/>
  <c r="AF40" i="10"/>
  <c r="AI40" i="10" s="1"/>
  <c r="X40" i="10"/>
  <c r="J40" i="10"/>
  <c r="M40" i="10" s="1"/>
  <c r="E40" i="10"/>
  <c r="AK39" i="10"/>
  <c r="AN39" i="10" s="1"/>
  <c r="AJ39" i="10"/>
  <c r="AC39" i="10"/>
  <c r="X39" i="10"/>
  <c r="S39" i="10"/>
  <c r="J39" i="10"/>
  <c r="E39" i="10"/>
  <c r="H22" i="9"/>
  <c r="H26" i="9"/>
  <c r="AF48" i="9"/>
  <c r="AI48" i="9" s="1"/>
  <c r="AF47" i="9"/>
  <c r="AI47" i="9" s="1"/>
  <c r="AF46" i="9"/>
  <c r="AI46" i="9" s="1"/>
  <c r="AF45" i="9"/>
  <c r="AI45" i="9" s="1"/>
  <c r="AF44" i="9"/>
  <c r="AI44" i="9" s="1"/>
  <c r="E44" i="9"/>
  <c r="AF43" i="9"/>
  <c r="AI43" i="9" s="1"/>
  <c r="E43" i="9"/>
  <c r="AF42" i="9"/>
  <c r="AI42" i="9" s="1"/>
  <c r="E42" i="9"/>
  <c r="AF41" i="9"/>
  <c r="AI41" i="9" s="1"/>
  <c r="E41" i="9"/>
  <c r="AF40" i="9"/>
  <c r="AI40" i="9" s="1"/>
  <c r="X40" i="9"/>
  <c r="J40" i="9"/>
  <c r="M40" i="9" s="1"/>
  <c r="E40" i="9"/>
  <c r="AK39" i="9"/>
  <c r="AN39" i="9" s="1"/>
  <c r="AJ39" i="9"/>
  <c r="AC39" i="9"/>
  <c r="X39" i="9"/>
  <c r="S39" i="9"/>
  <c r="J39" i="9"/>
  <c r="E39" i="9"/>
  <c r="AA40" i="7"/>
  <c r="AA39" i="7"/>
  <c r="Z40" i="7"/>
  <c r="Z39" i="7"/>
  <c r="AF48" i="7"/>
  <c r="AI48" i="7" s="1"/>
  <c r="AF47" i="7"/>
  <c r="AI47" i="7" s="1"/>
  <c r="AF46" i="7"/>
  <c r="AI46" i="7" s="1"/>
  <c r="AF45" i="7"/>
  <c r="AI45" i="7" s="1"/>
  <c r="AF44" i="7"/>
  <c r="AI44" i="7" s="1"/>
  <c r="AF43" i="7"/>
  <c r="AI43" i="7" s="1"/>
  <c r="AF42" i="7"/>
  <c r="AI42" i="7" s="1"/>
  <c r="AF41" i="7"/>
  <c r="AI41" i="7" s="1"/>
  <c r="AF40" i="7"/>
  <c r="AI40" i="7" s="1"/>
  <c r="X40" i="7"/>
  <c r="AN39" i="7"/>
  <c r="AK39" i="7"/>
  <c r="AJ39" i="7"/>
  <c r="AC39" i="7"/>
  <c r="X39" i="7"/>
  <c r="S39" i="7"/>
  <c r="E44" i="7"/>
  <c r="E43" i="7"/>
  <c r="E42" i="7"/>
  <c r="E41" i="7"/>
  <c r="J40" i="7"/>
  <c r="M40" i="7" s="1"/>
  <c r="E40" i="7"/>
  <c r="J39" i="7"/>
  <c r="E39" i="7"/>
  <c r="AN39" i="6"/>
  <c r="AI41" i="6"/>
  <c r="AI42" i="6"/>
  <c r="AI43" i="6"/>
  <c r="AI44" i="6"/>
  <c r="AI45" i="6"/>
  <c r="AI46" i="6"/>
  <c r="AI47" i="6"/>
  <c r="AI48" i="6"/>
  <c r="AI40" i="6"/>
  <c r="AK39" i="6"/>
  <c r="Y39" i="3"/>
  <c r="AF41" i="6"/>
  <c r="AF42" i="6"/>
  <c r="AF43" i="6"/>
  <c r="AF44" i="6"/>
  <c r="AF45" i="6"/>
  <c r="AF46" i="6"/>
  <c r="AF47" i="6"/>
  <c r="AF48" i="6"/>
  <c r="AF40" i="6"/>
  <c r="AC39" i="6"/>
  <c r="X40" i="6"/>
  <c r="X39" i="6"/>
  <c r="S39" i="6"/>
  <c r="J40" i="6"/>
  <c r="M40" i="6" s="1"/>
  <c r="J39" i="6"/>
  <c r="E40" i="6"/>
  <c r="E41" i="6"/>
  <c r="E42" i="6"/>
  <c r="E43" i="6"/>
  <c r="E44" i="6"/>
  <c r="E39" i="6"/>
  <c r="AJ39" i="6"/>
  <c r="V41" i="3"/>
  <c r="V42" i="3"/>
  <c r="V43" i="3"/>
  <c r="V44" i="3"/>
  <c r="V45" i="3"/>
  <c r="V46" i="3"/>
  <c r="V47" i="3"/>
  <c r="V48" i="3"/>
  <c r="V40" i="3"/>
  <c r="P40" i="3"/>
  <c r="P39" i="3"/>
  <c r="E42" i="3"/>
  <c r="E43" i="3"/>
  <c r="E44" i="3"/>
  <c r="E41" i="3"/>
  <c r="M39" i="3"/>
  <c r="H40" i="3"/>
  <c r="H39" i="3"/>
  <c r="E40" i="3"/>
  <c r="E39" i="3"/>
  <c r="S39" i="2" l="1"/>
  <c r="E39" i="2"/>
  <c r="H9" i="25" l="1"/>
  <c r="F9" i="25"/>
  <c r="G9" i="25"/>
  <c r="E9" i="25"/>
  <c r="D9" i="25"/>
  <c r="C9" i="25"/>
  <c r="B9" i="25"/>
  <c r="U22" i="14" l="1"/>
  <c r="D3" i="24" l="1"/>
  <c r="D4" i="24"/>
  <c r="D5" i="24"/>
  <c r="D6" i="24"/>
  <c r="D7" i="24"/>
  <c r="D8" i="24"/>
  <c r="D9" i="24"/>
  <c r="D10" i="24"/>
  <c r="D11" i="24"/>
  <c r="D12" i="24"/>
  <c r="D13" i="24"/>
  <c r="F3" i="24"/>
  <c r="I21" i="28" l="1"/>
  <c r="I19" i="28"/>
  <c r="I17" i="28"/>
  <c r="I15" i="28"/>
  <c r="I13" i="28"/>
  <c r="I11" i="28"/>
  <c r="I9" i="28"/>
  <c r="B3" i="28"/>
  <c r="B4" i="28"/>
  <c r="B2" i="28"/>
  <c r="F11" i="24" l="1"/>
  <c r="F8" i="24"/>
  <c r="F6" i="24"/>
  <c r="X13" i="14"/>
  <c r="X13" i="13"/>
  <c r="D28" i="14" l="1"/>
  <c r="D27" i="14"/>
  <c r="D26" i="14"/>
  <c r="D25" i="14"/>
  <c r="D24" i="14"/>
  <c r="D23" i="14"/>
  <c r="L18" i="14" l="1"/>
  <c r="G18" i="14"/>
  <c r="X16" i="13"/>
  <c r="X16" i="14" s="1"/>
  <c r="X15" i="13"/>
  <c r="X15" i="14" s="1"/>
  <c r="X14" i="13"/>
  <c r="H30" i="3"/>
  <c r="H26" i="3"/>
  <c r="H22" i="3"/>
  <c r="H18" i="3"/>
  <c r="H12" i="3"/>
  <c r="J12" i="7" s="1"/>
  <c r="H8" i="3"/>
  <c r="H4" i="3"/>
  <c r="J34" i="23"/>
  <c r="F34" i="23"/>
  <c r="AI22" i="18" s="1"/>
  <c r="C34" i="23"/>
  <c r="F33" i="23"/>
  <c r="C33" i="23"/>
  <c r="J29" i="23"/>
  <c r="I29" i="23"/>
  <c r="AI24" i="21" s="1"/>
  <c r="H29" i="23"/>
  <c r="F29" i="23"/>
  <c r="C29" i="23"/>
  <c r="F27" i="23"/>
  <c r="C27" i="23"/>
  <c r="J25" i="23"/>
  <c r="I25" i="23"/>
  <c r="G25" i="23"/>
  <c r="F25" i="23"/>
  <c r="C25" i="23"/>
  <c r="F24" i="23"/>
  <c r="AS6" i="18" s="1"/>
  <c r="C24" i="23"/>
  <c r="F23" i="23"/>
  <c r="C23" i="23"/>
  <c r="F22" i="23"/>
  <c r="C22" i="23"/>
  <c r="F21" i="23"/>
  <c r="C21" i="23"/>
  <c r="J20" i="23"/>
  <c r="F20" i="23"/>
  <c r="C20" i="23"/>
  <c r="J19" i="23"/>
  <c r="I19" i="23"/>
  <c r="H19" i="23"/>
  <c r="F19" i="23"/>
  <c r="C19" i="23"/>
  <c r="G18" i="23"/>
  <c r="F18" i="23"/>
  <c r="D18" i="23"/>
  <c r="C18" i="23"/>
  <c r="J17" i="23"/>
  <c r="F17" i="23"/>
  <c r="C17" i="23"/>
  <c r="F16" i="23"/>
  <c r="C16" i="23"/>
  <c r="J15" i="23"/>
  <c r="I15" i="23"/>
  <c r="F15" i="23"/>
  <c r="C15" i="23"/>
  <c r="F14" i="23"/>
  <c r="C14" i="23"/>
  <c r="F13" i="23"/>
  <c r="C13" i="23"/>
  <c r="F12" i="23"/>
  <c r="C12" i="23"/>
  <c r="F11" i="23"/>
  <c r="C11" i="23"/>
  <c r="J10" i="23"/>
  <c r="I10" i="23"/>
  <c r="H10" i="23"/>
  <c r="F10" i="23"/>
  <c r="T18" i="18" s="1"/>
  <c r="C10" i="23"/>
  <c r="F9" i="23"/>
  <c r="F8" i="23"/>
  <c r="C8" i="23"/>
  <c r="C7" i="23"/>
  <c r="J6" i="23"/>
  <c r="I6" i="23"/>
  <c r="F6" i="23"/>
  <c r="J4" i="23"/>
  <c r="I4" i="23"/>
  <c r="F4" i="23"/>
  <c r="C4" i="23"/>
  <c r="J3" i="23"/>
  <c r="I3" i="23"/>
  <c r="F3" i="23"/>
  <c r="C3" i="23"/>
  <c r="AI28" i="21"/>
  <c r="AI27" i="21"/>
  <c r="AI26" i="21"/>
  <c r="AI25" i="21"/>
  <c r="AI22" i="21"/>
  <c r="AJ22" i="21" s="1"/>
  <c r="AG22" i="21"/>
  <c r="T18" i="21"/>
  <c r="P14" i="21"/>
  <c r="N14" i="21"/>
  <c r="AS13" i="21"/>
  <c r="AS14" i="21" s="1"/>
  <c r="AN13" i="21"/>
  <c r="N13" i="21"/>
  <c r="Q13" i="21" s="1"/>
  <c r="G45" i="21" s="1"/>
  <c r="Y10" i="21"/>
  <c r="Y20" i="21" s="1"/>
  <c r="Y9" i="21"/>
  <c r="Y19" i="21" s="1"/>
  <c r="Y8" i="21"/>
  <c r="K8" i="21"/>
  <c r="K18" i="21" s="1"/>
  <c r="AS6" i="21"/>
  <c r="F5" i="21"/>
  <c r="AI28" i="20"/>
  <c r="AI27" i="20"/>
  <c r="AI26" i="20"/>
  <c r="AI25" i="20"/>
  <c r="AI24" i="20"/>
  <c r="AI22" i="20"/>
  <c r="AG22" i="20"/>
  <c r="AJ22" i="20" s="1"/>
  <c r="T18" i="20"/>
  <c r="Y14" i="20"/>
  <c r="P14" i="20"/>
  <c r="N14" i="20"/>
  <c r="AS13" i="20"/>
  <c r="AS14" i="20" s="1"/>
  <c r="AN13" i="20"/>
  <c r="N13" i="20"/>
  <c r="Q13" i="20" s="1"/>
  <c r="G45" i="20" s="1"/>
  <c r="Y10" i="20"/>
  <c r="Y20" i="20" s="1"/>
  <c r="Y9" i="20"/>
  <c r="Y19" i="20" s="1"/>
  <c r="Y8" i="20"/>
  <c r="Y18" i="20" s="1"/>
  <c r="K8" i="20"/>
  <c r="K13" i="20" s="1"/>
  <c r="AS6" i="20"/>
  <c r="F5" i="20"/>
  <c r="AI28" i="18"/>
  <c r="AI27" i="18"/>
  <c r="AI26" i="18"/>
  <c r="AI25" i="18"/>
  <c r="AI24" i="18"/>
  <c r="AI23" i="18"/>
  <c r="AG22" i="18"/>
  <c r="P14" i="18"/>
  <c r="N14" i="18"/>
  <c r="AS13" i="18"/>
  <c r="AS14" i="18" s="1"/>
  <c r="AN13" i="18"/>
  <c r="Y13" i="18"/>
  <c r="N13" i="18"/>
  <c r="Q13" i="18" s="1"/>
  <c r="G45" i="18" s="1"/>
  <c r="Y10" i="18"/>
  <c r="Y9" i="18"/>
  <c r="Y19" i="18" s="1"/>
  <c r="Y8" i="18"/>
  <c r="Y18" i="18" s="1"/>
  <c r="K8" i="18"/>
  <c r="K18" i="18" s="1"/>
  <c r="F5" i="18"/>
  <c r="AI28" i="17"/>
  <c r="AI27" i="17"/>
  <c r="AI26" i="17"/>
  <c r="AI25" i="17"/>
  <c r="AI24" i="17"/>
  <c r="AI23" i="17"/>
  <c r="AI22" i="17"/>
  <c r="AG22" i="17"/>
  <c r="T18" i="17"/>
  <c r="P14" i="17"/>
  <c r="N14" i="17"/>
  <c r="AS13" i="17"/>
  <c r="AS14" i="17" s="1"/>
  <c r="AN13" i="17"/>
  <c r="N13" i="17"/>
  <c r="Q13" i="17" s="1"/>
  <c r="G45" i="17" s="1"/>
  <c r="Y10" i="17"/>
  <c r="Y15" i="17" s="1"/>
  <c r="Y9" i="17"/>
  <c r="Y8" i="17"/>
  <c r="Y18" i="17" s="1"/>
  <c r="K8" i="17"/>
  <c r="K13" i="17" s="1"/>
  <c r="AS6" i="17"/>
  <c r="F5" i="17"/>
  <c r="J14" i="14"/>
  <c r="J13" i="14"/>
  <c r="J40" i="13"/>
  <c r="U28" i="13"/>
  <c r="U27" i="13"/>
  <c r="U27" i="14" s="1"/>
  <c r="U26" i="13"/>
  <c r="U26" i="14" s="1"/>
  <c r="U25" i="13"/>
  <c r="U25" i="14" s="1"/>
  <c r="U24" i="13"/>
  <c r="U24" i="14" s="1"/>
  <c r="U23" i="13"/>
  <c r="U23" i="14" s="1"/>
  <c r="D22" i="13"/>
  <c r="D22" i="14" s="1"/>
  <c r="O20" i="13"/>
  <c r="AA14" i="13"/>
  <c r="AQ14" i="18" s="1"/>
  <c r="AT14" i="18" s="1"/>
  <c r="G70" i="18" s="1"/>
  <c r="AA13" i="13"/>
  <c r="G13" i="13"/>
  <c r="O14" i="13" s="1"/>
  <c r="G8" i="13"/>
  <c r="G8" i="14" s="1"/>
  <c r="D6" i="13"/>
  <c r="R6" i="13" s="1"/>
  <c r="D5" i="13"/>
  <c r="D5" i="14" s="1"/>
  <c r="H22" i="10"/>
  <c r="G22" i="10"/>
  <c r="G30" i="10" s="1"/>
  <c r="G39" i="10" s="1"/>
  <c r="H39" i="10" s="1"/>
  <c r="G8" i="10"/>
  <c r="Z6" i="10"/>
  <c r="Z32" i="10" s="1"/>
  <c r="Z5" i="10"/>
  <c r="Z31" i="10" s="1"/>
  <c r="Z4" i="10"/>
  <c r="Z30" i="10" s="1"/>
  <c r="L4" i="10"/>
  <c r="L30" i="10" s="1"/>
  <c r="G4" i="10"/>
  <c r="G22" i="9"/>
  <c r="G30" i="9" s="1"/>
  <c r="G39" i="9" s="1"/>
  <c r="H39" i="9" s="1"/>
  <c r="G8" i="9"/>
  <c r="Z6" i="9"/>
  <c r="Z14" i="9" s="1"/>
  <c r="Z40" i="9" s="1"/>
  <c r="AA40" i="9" s="1"/>
  <c r="Z5" i="9"/>
  <c r="Z31" i="9" s="1"/>
  <c r="Z4" i="9"/>
  <c r="Z30" i="9" s="1"/>
  <c r="L4" i="9"/>
  <c r="L12" i="9" s="1"/>
  <c r="L39" i="9" s="1"/>
  <c r="M39" i="9" s="1"/>
  <c r="G4" i="9"/>
  <c r="G22" i="7"/>
  <c r="G30" i="7" s="1"/>
  <c r="G39" i="7" s="1"/>
  <c r="H39" i="7" s="1"/>
  <c r="G8" i="7"/>
  <c r="Z6" i="7"/>
  <c r="Z5" i="7"/>
  <c r="Z31" i="7" s="1"/>
  <c r="Z4" i="7"/>
  <c r="Z12" i="7" s="1"/>
  <c r="L4" i="7"/>
  <c r="L30" i="7" s="1"/>
  <c r="G4" i="7"/>
  <c r="G22" i="6"/>
  <c r="G30" i="6" s="1"/>
  <c r="G39" i="6" s="1"/>
  <c r="G8" i="6"/>
  <c r="Z6" i="6"/>
  <c r="Z14" i="6" s="1"/>
  <c r="Z5" i="6"/>
  <c r="Z31" i="6" s="1"/>
  <c r="Z39" i="6" s="1"/>
  <c r="AA39" i="6" s="1"/>
  <c r="Z4" i="6"/>
  <c r="Z12" i="6" s="1"/>
  <c r="L4" i="6"/>
  <c r="L30" i="6" s="1"/>
  <c r="G4" i="6"/>
  <c r="O60" i="3"/>
  <c r="E22" i="3"/>
  <c r="K16" i="3"/>
  <c r="O16" i="6" s="1"/>
  <c r="R16" i="6" s="1"/>
  <c r="G68" i="6" s="1"/>
  <c r="K15" i="3"/>
  <c r="K14" i="3"/>
  <c r="K13" i="3"/>
  <c r="K12" i="3"/>
  <c r="E12" i="3"/>
  <c r="E8" i="3"/>
  <c r="S4" i="3"/>
  <c r="E4" i="3"/>
  <c r="O60" i="2"/>
  <c r="P13" i="2" s="1"/>
  <c r="P13" i="3" s="1"/>
  <c r="E30" i="2"/>
  <c r="S30" i="2" s="1"/>
  <c r="E26" i="2"/>
  <c r="S26" i="2" s="1"/>
  <c r="S22" i="2"/>
  <c r="E18" i="2"/>
  <c r="S18" i="2" s="1"/>
  <c r="S12" i="2"/>
  <c r="S12" i="3" s="1"/>
  <c r="S8" i="2"/>
  <c r="E26" i="3" l="1"/>
  <c r="S39" i="3"/>
  <c r="U28" i="14"/>
  <c r="P4" i="2"/>
  <c r="P4" i="3" s="1"/>
  <c r="P14" i="2"/>
  <c r="P14" i="3" s="1"/>
  <c r="P24" i="2"/>
  <c r="P24" i="3" s="1"/>
  <c r="P31" i="2"/>
  <c r="P31" i="3" s="1"/>
  <c r="X31" i="6" s="1"/>
  <c r="AA31" i="6" s="1"/>
  <c r="G88" i="6" s="1"/>
  <c r="O10" i="13"/>
  <c r="O10" i="14" s="1"/>
  <c r="D6" i="14"/>
  <c r="Q14" i="21"/>
  <c r="G46" i="21" s="1"/>
  <c r="P32" i="2"/>
  <c r="P32" i="3" s="1"/>
  <c r="G13" i="14"/>
  <c r="O14" i="14"/>
  <c r="P8" i="2"/>
  <c r="P8" i="3" s="1"/>
  <c r="P26" i="2"/>
  <c r="P26" i="3" s="1"/>
  <c r="P6" i="2"/>
  <c r="P6" i="3" s="1"/>
  <c r="P18" i="2"/>
  <c r="P19" i="2"/>
  <c r="P27" i="2"/>
  <c r="P27" i="3" s="1"/>
  <c r="X27" i="7" s="1"/>
  <c r="P9" i="2"/>
  <c r="P9" i="3" s="1"/>
  <c r="P20" i="2"/>
  <c r="P28" i="2"/>
  <c r="P28" i="3" s="1"/>
  <c r="O20" i="14"/>
  <c r="P10" i="2"/>
  <c r="P10" i="3" s="1"/>
  <c r="P22" i="2"/>
  <c r="P22" i="3" s="1"/>
  <c r="D7" i="13"/>
  <c r="D7" i="14" s="1"/>
  <c r="O15" i="13"/>
  <c r="Q14" i="17"/>
  <c r="G46" i="17" s="1"/>
  <c r="K18" i="20"/>
  <c r="AA13" i="14"/>
  <c r="P12" i="2"/>
  <c r="P12" i="3" s="1"/>
  <c r="P30" i="2"/>
  <c r="P30" i="3" s="1"/>
  <c r="P23" i="2"/>
  <c r="P23" i="3" s="1"/>
  <c r="O8" i="13"/>
  <c r="O8" i="14" s="1"/>
  <c r="O9" i="13"/>
  <c r="O9" i="14" s="1"/>
  <c r="AA14" i="14"/>
  <c r="G58" i="20"/>
  <c r="Z13" i="6"/>
  <c r="L12" i="7"/>
  <c r="L39" i="7" s="1"/>
  <c r="M39" i="7" s="1"/>
  <c r="Z12" i="10"/>
  <c r="Q14" i="18"/>
  <c r="G46" i="18" s="1"/>
  <c r="Q14" i="20"/>
  <c r="G46" i="20" s="1"/>
  <c r="G58" i="21"/>
  <c r="L12" i="6"/>
  <c r="L39" i="6" s="1"/>
  <c r="Z13" i="9"/>
  <c r="Z39" i="9" s="1"/>
  <c r="AA39" i="9" s="1"/>
  <c r="K18" i="17"/>
  <c r="AJ22" i="18"/>
  <c r="G58" i="18" s="1"/>
  <c r="Z12" i="9"/>
  <c r="K13" i="18"/>
  <c r="Y15" i="20"/>
  <c r="Z13" i="7"/>
  <c r="Z13" i="10"/>
  <c r="Z39" i="10" s="1"/>
  <c r="AA39" i="10" s="1"/>
  <c r="X14" i="14"/>
  <c r="I8" i="20"/>
  <c r="L8" i="20" s="1"/>
  <c r="G42" i="20" s="1"/>
  <c r="X4" i="10"/>
  <c r="AA4" i="10" s="1"/>
  <c r="G69" i="10" s="1"/>
  <c r="X4" i="9"/>
  <c r="AA4" i="9" s="1"/>
  <c r="G69" i="9" s="1"/>
  <c r="X4" i="7"/>
  <c r="AA4" i="7" s="1"/>
  <c r="G69" i="7" s="1"/>
  <c r="X4" i="6"/>
  <c r="AA4" i="6" s="1"/>
  <c r="G69" i="6" s="1"/>
  <c r="X24" i="10"/>
  <c r="X24" i="9"/>
  <c r="X24" i="7"/>
  <c r="X24" i="6"/>
  <c r="X26" i="10"/>
  <c r="X26" i="9"/>
  <c r="X26" i="7"/>
  <c r="X26" i="6"/>
  <c r="X14" i="10"/>
  <c r="X14" i="9"/>
  <c r="AA14" i="9" s="1"/>
  <c r="G77" i="9" s="1"/>
  <c r="X14" i="7"/>
  <c r="X14" i="6"/>
  <c r="AA14" i="6" s="1"/>
  <c r="G77" i="6" s="1"/>
  <c r="X32" i="10"/>
  <c r="AA32" i="10" s="1"/>
  <c r="G89" i="10" s="1"/>
  <c r="X32" i="9"/>
  <c r="X32" i="7"/>
  <c r="X32" i="6"/>
  <c r="X28" i="10"/>
  <c r="X28" i="9"/>
  <c r="X28" i="7"/>
  <c r="X28" i="6"/>
  <c r="X6" i="10"/>
  <c r="AA6" i="10" s="1"/>
  <c r="G71" i="10" s="1"/>
  <c r="X6" i="9"/>
  <c r="AA6" i="9" s="1"/>
  <c r="G71" i="9" s="1"/>
  <c r="X6" i="7"/>
  <c r="AA6" i="7" s="1"/>
  <c r="G71" i="7" s="1"/>
  <c r="X6" i="6"/>
  <c r="AA6" i="6" s="1"/>
  <c r="G71" i="6" s="1"/>
  <c r="X8" i="10"/>
  <c r="X8" i="7"/>
  <c r="X8" i="6"/>
  <c r="X8" i="9"/>
  <c r="X9" i="10"/>
  <c r="X9" i="9"/>
  <c r="X9" i="6"/>
  <c r="X9" i="7"/>
  <c r="X30" i="10"/>
  <c r="AA30" i="10" s="1"/>
  <c r="G87" i="10" s="1"/>
  <c r="X30" i="9"/>
  <c r="AA30" i="9" s="1"/>
  <c r="G87" i="9" s="1"/>
  <c r="X30" i="7"/>
  <c r="X30" i="6"/>
  <c r="X13" i="10"/>
  <c r="AA13" i="10" s="1"/>
  <c r="G76" i="10" s="1"/>
  <c r="X13" i="9"/>
  <c r="X13" i="7"/>
  <c r="AA13" i="7" s="1"/>
  <c r="G76" i="7" s="1"/>
  <c r="X13" i="6"/>
  <c r="X12" i="10"/>
  <c r="AA12" i="10" s="1"/>
  <c r="G75" i="10" s="1"/>
  <c r="X12" i="9"/>
  <c r="X12" i="6"/>
  <c r="AA12" i="6" s="1"/>
  <c r="G75" i="6" s="1"/>
  <c r="X12" i="7"/>
  <c r="AA12" i="7" s="1"/>
  <c r="G75" i="7" s="1"/>
  <c r="AC12" i="10"/>
  <c r="AC12" i="9"/>
  <c r="AC12" i="6"/>
  <c r="AC12" i="7"/>
  <c r="X23" i="10"/>
  <c r="X23" i="9"/>
  <c r="X23" i="7"/>
  <c r="X23" i="6"/>
  <c r="O16" i="7"/>
  <c r="R16" i="7" s="1"/>
  <c r="G68" i="7" s="1"/>
  <c r="J26" i="10"/>
  <c r="J26" i="9"/>
  <c r="J26" i="7"/>
  <c r="J26" i="6"/>
  <c r="Z18" i="6"/>
  <c r="Z22" i="6"/>
  <c r="Z26" i="6"/>
  <c r="Z30" i="6"/>
  <c r="G26" i="7"/>
  <c r="E22" i="10"/>
  <c r="E22" i="7"/>
  <c r="H22" i="7" s="1"/>
  <c r="E22" i="6"/>
  <c r="H22" i="6" s="1"/>
  <c r="E22" i="9"/>
  <c r="J12" i="6"/>
  <c r="M12" i="6" s="1"/>
  <c r="G59" i="6" s="1"/>
  <c r="Z32" i="7"/>
  <c r="Z14" i="7"/>
  <c r="Z10" i="7"/>
  <c r="E26" i="7"/>
  <c r="E26" i="6"/>
  <c r="E26" i="10"/>
  <c r="E26" i="9"/>
  <c r="O15" i="10"/>
  <c r="R15" i="10" s="1"/>
  <c r="G67" i="10" s="1"/>
  <c r="O15" i="9"/>
  <c r="R15" i="9" s="1"/>
  <c r="G67" i="9" s="1"/>
  <c r="O15" i="7"/>
  <c r="R15" i="7" s="1"/>
  <c r="G67" i="7" s="1"/>
  <c r="O15" i="6"/>
  <c r="R15" i="6" s="1"/>
  <c r="G67" i="6" s="1"/>
  <c r="J22" i="10"/>
  <c r="J22" i="9"/>
  <c r="J22" i="7"/>
  <c r="J22" i="6"/>
  <c r="X10" i="10"/>
  <c r="X10" i="9"/>
  <c r="X10" i="7"/>
  <c r="X10" i="6"/>
  <c r="E8" i="10"/>
  <c r="H8" i="10" s="1"/>
  <c r="E8" i="7"/>
  <c r="H8" i="7" s="1"/>
  <c r="E8" i="6"/>
  <c r="H8" i="6" s="1"/>
  <c r="E8" i="9"/>
  <c r="H8" i="9" s="1"/>
  <c r="S26" i="3"/>
  <c r="J8" i="10"/>
  <c r="J8" i="9"/>
  <c r="J8" i="7"/>
  <c r="J8" i="6"/>
  <c r="E18" i="3"/>
  <c r="AC4" i="6"/>
  <c r="Z8" i="6"/>
  <c r="Z20" i="6"/>
  <c r="Z24" i="6"/>
  <c r="Z28" i="6"/>
  <c r="Z32" i="6"/>
  <c r="Z40" i="6" s="1"/>
  <c r="AA40" i="6" s="1"/>
  <c r="Z18" i="7"/>
  <c r="Z22" i="7"/>
  <c r="Z26" i="7"/>
  <c r="Z30" i="7"/>
  <c r="O14" i="9"/>
  <c r="R14" i="9" s="1"/>
  <c r="G66" i="9" s="1"/>
  <c r="O14" i="7"/>
  <c r="R14" i="7" s="1"/>
  <c r="G66" i="7" s="1"/>
  <c r="O14" i="6"/>
  <c r="R14" i="6" s="1"/>
  <c r="G66" i="6" s="1"/>
  <c r="O14" i="10"/>
  <c r="R14" i="10" s="1"/>
  <c r="G66" i="10" s="1"/>
  <c r="O12" i="10"/>
  <c r="R12" i="10" s="1"/>
  <c r="G64" i="10" s="1"/>
  <c r="O12" i="9"/>
  <c r="R12" i="9" s="1"/>
  <c r="G64" i="9" s="1"/>
  <c r="O12" i="7"/>
  <c r="R12" i="7" s="1"/>
  <c r="G64" i="7" s="1"/>
  <c r="O12" i="6"/>
  <c r="R12" i="6" s="1"/>
  <c r="G64" i="6" s="1"/>
  <c r="E4" i="10"/>
  <c r="H4" i="10" s="1"/>
  <c r="E4" i="9"/>
  <c r="H4" i="9" s="1"/>
  <c r="E4" i="7"/>
  <c r="H4" i="7" s="1"/>
  <c r="E4" i="6"/>
  <c r="H4" i="6" s="1"/>
  <c r="J18" i="10"/>
  <c r="J18" i="9"/>
  <c r="J18" i="7"/>
  <c r="J18" i="6"/>
  <c r="S22" i="3"/>
  <c r="AC4" i="10"/>
  <c r="AC4" i="9"/>
  <c r="O13" i="10"/>
  <c r="R13" i="10" s="1"/>
  <c r="G65" i="10" s="1"/>
  <c r="O13" i="9"/>
  <c r="R13" i="9" s="1"/>
  <c r="G65" i="9" s="1"/>
  <c r="O13" i="7"/>
  <c r="R13" i="7" s="1"/>
  <c r="G65" i="7" s="1"/>
  <c r="O13" i="6"/>
  <c r="R13" i="6" s="1"/>
  <c r="G65" i="6" s="1"/>
  <c r="E30" i="3"/>
  <c r="G26" i="6"/>
  <c r="E12" i="7"/>
  <c r="H12" i="7" s="1"/>
  <c r="E12" i="6"/>
  <c r="H12" i="6" s="1"/>
  <c r="E12" i="10"/>
  <c r="H12" i="10" s="1"/>
  <c r="E12" i="9"/>
  <c r="H12" i="9" s="1"/>
  <c r="J12" i="10"/>
  <c r="J12" i="9"/>
  <c r="M12" i="9" s="1"/>
  <c r="G59" i="9" s="1"/>
  <c r="O16" i="10"/>
  <c r="R16" i="10" s="1"/>
  <c r="G68" i="10" s="1"/>
  <c r="O16" i="9"/>
  <c r="R16" i="9" s="1"/>
  <c r="G68" i="9" s="1"/>
  <c r="J4" i="10"/>
  <c r="M4" i="10" s="1"/>
  <c r="G57" i="10" s="1"/>
  <c r="J4" i="9"/>
  <c r="M4" i="9" s="1"/>
  <c r="G57" i="9" s="1"/>
  <c r="J4" i="7"/>
  <c r="M4" i="7" s="1"/>
  <c r="G57" i="7" s="1"/>
  <c r="J4" i="6"/>
  <c r="M4" i="6" s="1"/>
  <c r="G57" i="6" s="1"/>
  <c r="S8" i="3"/>
  <c r="P5" i="2"/>
  <c r="P5" i="3" s="1"/>
  <c r="J30" i="10"/>
  <c r="M30" i="10" s="1"/>
  <c r="J30" i="9"/>
  <c r="J30" i="7"/>
  <c r="M30" i="7" s="1"/>
  <c r="J30" i="6"/>
  <c r="M30" i="6" s="1"/>
  <c r="Z10" i="6"/>
  <c r="AC4" i="7"/>
  <c r="Z8" i="7"/>
  <c r="Z20" i="7"/>
  <c r="Z24" i="7"/>
  <c r="Z28" i="7"/>
  <c r="Z9" i="6"/>
  <c r="Z19" i="6"/>
  <c r="Z23" i="6"/>
  <c r="Z27" i="6"/>
  <c r="Z9" i="7"/>
  <c r="Z19" i="7"/>
  <c r="Z23" i="7"/>
  <c r="Z27" i="7"/>
  <c r="Z10" i="9"/>
  <c r="L8" i="6"/>
  <c r="L18" i="6"/>
  <c r="L22" i="6"/>
  <c r="L26" i="6"/>
  <c r="L8" i="7"/>
  <c r="L18" i="7"/>
  <c r="L22" i="7"/>
  <c r="L26" i="7"/>
  <c r="L26" i="9"/>
  <c r="W10" i="20"/>
  <c r="Z10" i="20" s="1"/>
  <c r="G50" i="20" s="1"/>
  <c r="W10" i="18"/>
  <c r="Z10" i="18" s="1"/>
  <c r="G50" i="18" s="1"/>
  <c r="W10" i="21"/>
  <c r="Z10" i="21" s="1"/>
  <c r="G50" i="21" s="1"/>
  <c r="W10" i="17"/>
  <c r="Z10" i="17" s="1"/>
  <c r="G50" i="17" s="1"/>
  <c r="W9" i="17"/>
  <c r="Z9" i="17" s="1"/>
  <c r="G49" i="17" s="1"/>
  <c r="W9" i="20"/>
  <c r="Z9" i="20" s="1"/>
  <c r="G49" i="20" s="1"/>
  <c r="W9" i="18"/>
  <c r="Z9" i="18" s="1"/>
  <c r="G49" i="18" s="1"/>
  <c r="W9" i="21"/>
  <c r="Z9" i="21" s="1"/>
  <c r="G49" i="21" s="1"/>
  <c r="L8" i="9"/>
  <c r="W14" i="21"/>
  <c r="W14" i="17"/>
  <c r="W14" i="20"/>
  <c r="Z14" i="20" s="1"/>
  <c r="G52" i="20" s="1"/>
  <c r="W14" i="18"/>
  <c r="D22" i="18"/>
  <c r="G22" i="18" s="1"/>
  <c r="G35" i="18" s="1"/>
  <c r="D22" i="21"/>
  <c r="G22" i="21" s="1"/>
  <c r="G35" i="21" s="1"/>
  <c r="D22" i="17"/>
  <c r="G22" i="17" s="1"/>
  <c r="G35" i="17" s="1"/>
  <c r="D22" i="20"/>
  <c r="G22" i="20" s="1"/>
  <c r="G35" i="20" s="1"/>
  <c r="D6" i="20"/>
  <c r="G6" i="20" s="1"/>
  <c r="G33" i="20" s="1"/>
  <c r="D6" i="18"/>
  <c r="G6" i="18" s="1"/>
  <c r="G33" i="18" s="1"/>
  <c r="D6" i="21"/>
  <c r="G6" i="21" s="1"/>
  <c r="G33" i="21" s="1"/>
  <c r="D6" i="17"/>
  <c r="G6" i="17" s="1"/>
  <c r="G33" i="17" s="1"/>
  <c r="L18" i="9"/>
  <c r="L22" i="9"/>
  <c r="Z32" i="9"/>
  <c r="AL16" i="21"/>
  <c r="AO16" i="21" s="1"/>
  <c r="AL16" i="17"/>
  <c r="AO16" i="17" s="1"/>
  <c r="AL16" i="20"/>
  <c r="AO16" i="20" s="1"/>
  <c r="AL16" i="18"/>
  <c r="AO16" i="18" s="1"/>
  <c r="AG23" i="18"/>
  <c r="AJ23" i="18" s="1"/>
  <c r="AG23" i="21"/>
  <c r="AJ23" i="21" s="1"/>
  <c r="G59" i="21" s="1"/>
  <c r="AG23" i="17"/>
  <c r="AJ23" i="17" s="1"/>
  <c r="AG23" i="20"/>
  <c r="AJ23" i="20" s="1"/>
  <c r="G59" i="20" s="1"/>
  <c r="D5" i="17"/>
  <c r="G5" i="17" s="1"/>
  <c r="G32" i="17" s="1"/>
  <c r="D5" i="20"/>
  <c r="G5" i="20" s="1"/>
  <c r="D5" i="18"/>
  <c r="G5" i="18" s="1"/>
  <c r="G32" i="18" s="1"/>
  <c r="D5" i="21"/>
  <c r="G5" i="21" s="1"/>
  <c r="I13" i="17"/>
  <c r="L13" i="17" s="1"/>
  <c r="G43" i="17" s="1"/>
  <c r="I13" i="20"/>
  <c r="L13" i="20" s="1"/>
  <c r="G43" i="20" s="1"/>
  <c r="I13" i="18"/>
  <c r="L13" i="18" s="1"/>
  <c r="G43" i="18" s="1"/>
  <c r="I13" i="21"/>
  <c r="Z28" i="9"/>
  <c r="AB6" i="20"/>
  <c r="AE6" i="20" s="1"/>
  <c r="G57" i="20" s="1"/>
  <c r="AB6" i="18"/>
  <c r="AE6" i="18" s="1"/>
  <c r="G57" i="18" s="1"/>
  <c r="AB6" i="21"/>
  <c r="AE6" i="21" s="1"/>
  <c r="G57" i="21" s="1"/>
  <c r="AB6" i="17"/>
  <c r="AE6" i="17" s="1"/>
  <c r="G57" i="17" s="1"/>
  <c r="AA6" i="13"/>
  <c r="AA6" i="14" s="1"/>
  <c r="R6" i="14"/>
  <c r="D7" i="17"/>
  <c r="G7" i="17" s="1"/>
  <c r="G34" i="17" s="1"/>
  <c r="D7" i="20"/>
  <c r="G7" i="20" s="1"/>
  <c r="G34" i="20" s="1"/>
  <c r="D7" i="18"/>
  <c r="G7" i="18" s="1"/>
  <c r="G34" i="18" s="1"/>
  <c r="D7" i="21"/>
  <c r="G7" i="21" s="1"/>
  <c r="G34" i="21" s="1"/>
  <c r="Z20" i="9"/>
  <c r="Z24" i="9"/>
  <c r="L30" i="9"/>
  <c r="W15" i="21"/>
  <c r="W15" i="17"/>
  <c r="Z15" i="17" s="1"/>
  <c r="G53" i="17" s="1"/>
  <c r="W15" i="20"/>
  <c r="Z15" i="20" s="1"/>
  <c r="G53" i="20" s="1"/>
  <c r="W15" i="18"/>
  <c r="G26" i="9"/>
  <c r="G26" i="10"/>
  <c r="AG24" i="18"/>
  <c r="AJ24" i="18" s="1"/>
  <c r="G60" i="18" s="1"/>
  <c r="AG24" i="21"/>
  <c r="AJ24" i="21" s="1"/>
  <c r="G60" i="21" s="1"/>
  <c r="AG24" i="17"/>
  <c r="AJ24" i="17" s="1"/>
  <c r="G60" i="17" s="1"/>
  <c r="D26" i="20"/>
  <c r="G26" i="20" s="1"/>
  <c r="G39" i="20" s="1"/>
  <c r="D26" i="21"/>
  <c r="G26" i="21" s="1"/>
  <c r="G39" i="21" s="1"/>
  <c r="D26" i="17"/>
  <c r="G26" i="17" s="1"/>
  <c r="G39" i="17" s="1"/>
  <c r="AG24" i="20"/>
  <c r="AJ24" i="20" s="1"/>
  <c r="G60" i="20" s="1"/>
  <c r="Y18" i="21"/>
  <c r="Y13" i="21"/>
  <c r="AG26" i="21"/>
  <c r="AJ26" i="21" s="1"/>
  <c r="G62" i="21" s="1"/>
  <c r="O13" i="13"/>
  <c r="O13" i="14" s="1"/>
  <c r="AG25" i="20"/>
  <c r="AJ25" i="20" s="1"/>
  <c r="G61" i="20" s="1"/>
  <c r="AG25" i="18"/>
  <c r="AJ25" i="18" s="1"/>
  <c r="G61" i="18" s="1"/>
  <c r="AG25" i="21"/>
  <c r="AJ25" i="21" s="1"/>
  <c r="G61" i="21" s="1"/>
  <c r="Z9" i="9"/>
  <c r="Z19" i="9"/>
  <c r="Z23" i="9"/>
  <c r="Z27" i="9"/>
  <c r="Z9" i="10"/>
  <c r="L12" i="10"/>
  <c r="L39" i="10" s="1"/>
  <c r="M39" i="10" s="1"/>
  <c r="Z14" i="10"/>
  <c r="Z40" i="10" s="1"/>
  <c r="AA40" i="10" s="1"/>
  <c r="Z19" i="10"/>
  <c r="Z23" i="10"/>
  <c r="Z27" i="10"/>
  <c r="AL13" i="17"/>
  <c r="AO13" i="17" s="1"/>
  <c r="G65" i="17" s="1"/>
  <c r="AL13" i="20"/>
  <c r="AO13" i="20" s="1"/>
  <c r="G65" i="20" s="1"/>
  <c r="AL13" i="18"/>
  <c r="AO13" i="18" s="1"/>
  <c r="G65" i="18" s="1"/>
  <c r="R18" i="20"/>
  <c r="U18" i="20" s="1"/>
  <c r="G47" i="20" s="1"/>
  <c r="R18" i="18"/>
  <c r="U18" i="18" s="1"/>
  <c r="G47" i="18" s="1"/>
  <c r="R18" i="21"/>
  <c r="U18" i="21" s="1"/>
  <c r="G47" i="21" s="1"/>
  <c r="AG26" i="17"/>
  <c r="AJ26" i="17" s="1"/>
  <c r="G62" i="17" s="1"/>
  <c r="AG26" i="20"/>
  <c r="AJ26" i="20" s="1"/>
  <c r="G62" i="20" s="1"/>
  <c r="AG26" i="18"/>
  <c r="AJ26" i="18" s="1"/>
  <c r="G62" i="18" s="1"/>
  <c r="D23" i="20"/>
  <c r="G23" i="20" s="1"/>
  <c r="G36" i="20" s="1"/>
  <c r="D23" i="18"/>
  <c r="G23" i="18" s="1"/>
  <c r="G36" i="18" s="1"/>
  <c r="D23" i="21"/>
  <c r="G23" i="21" s="1"/>
  <c r="G36" i="21" s="1"/>
  <c r="D23" i="17"/>
  <c r="G23" i="17" s="1"/>
  <c r="G36" i="17" s="1"/>
  <c r="D27" i="17"/>
  <c r="G27" i="17" s="1"/>
  <c r="G40" i="17" s="1"/>
  <c r="D27" i="20"/>
  <c r="G27" i="20" s="1"/>
  <c r="G40" i="20" s="1"/>
  <c r="D27" i="18"/>
  <c r="G27" i="18" s="1"/>
  <c r="G40" i="18" s="1"/>
  <c r="D27" i="21"/>
  <c r="G27" i="21" s="1"/>
  <c r="G40" i="21" s="1"/>
  <c r="R18" i="17"/>
  <c r="U18" i="17" s="1"/>
  <c r="G47" i="17" s="1"/>
  <c r="D26" i="18"/>
  <c r="G26" i="18" s="1"/>
  <c r="G39" i="18" s="1"/>
  <c r="W20" i="20"/>
  <c r="Z20" i="20" s="1"/>
  <c r="G56" i="20" s="1"/>
  <c r="AG28" i="20"/>
  <c r="AJ28" i="20" s="1"/>
  <c r="G64" i="20" s="1"/>
  <c r="L8" i="10"/>
  <c r="L18" i="10"/>
  <c r="L22" i="10"/>
  <c r="L26" i="10"/>
  <c r="AQ13" i="20"/>
  <c r="AT13" i="20" s="1"/>
  <c r="G69" i="20" s="1"/>
  <c r="AQ13" i="18"/>
  <c r="AT13" i="18" s="1"/>
  <c r="G69" i="18" s="1"/>
  <c r="AQ13" i="21"/>
  <c r="AT13" i="21" s="1"/>
  <c r="G69" i="21" s="1"/>
  <c r="O18" i="13"/>
  <c r="O18" i="14" s="1"/>
  <c r="AG27" i="18"/>
  <c r="AJ27" i="18" s="1"/>
  <c r="G63" i="18" s="1"/>
  <c r="AG27" i="21"/>
  <c r="AJ27" i="21" s="1"/>
  <c r="G63" i="21" s="1"/>
  <c r="AG27" i="17"/>
  <c r="AJ27" i="17" s="1"/>
  <c r="G63" i="17" s="1"/>
  <c r="AG27" i="20"/>
  <c r="AJ27" i="20" s="1"/>
  <c r="G63" i="20" s="1"/>
  <c r="I8" i="17"/>
  <c r="L8" i="17" s="1"/>
  <c r="G42" i="17" s="1"/>
  <c r="I8" i="18"/>
  <c r="L8" i="18" s="1"/>
  <c r="G42" i="18" s="1"/>
  <c r="I8" i="21"/>
  <c r="L8" i="21" s="1"/>
  <c r="G42" i="21" s="1"/>
  <c r="I18" i="17"/>
  <c r="L18" i="17" s="1"/>
  <c r="G44" i="17" s="1"/>
  <c r="I18" i="20"/>
  <c r="L18" i="20" s="1"/>
  <c r="G44" i="20" s="1"/>
  <c r="I18" i="18"/>
  <c r="L18" i="18" s="1"/>
  <c r="G44" i="18" s="1"/>
  <c r="AQ13" i="17"/>
  <c r="AT13" i="17" s="1"/>
  <c r="G69" i="17" s="1"/>
  <c r="O19" i="13"/>
  <c r="O19" i="14" s="1"/>
  <c r="AG28" i="18"/>
  <c r="AJ28" i="18" s="1"/>
  <c r="G64" i="18" s="1"/>
  <c r="AG28" i="21"/>
  <c r="AJ28" i="21" s="1"/>
  <c r="G64" i="21" s="1"/>
  <c r="AG28" i="17"/>
  <c r="AJ28" i="17" s="1"/>
  <c r="G64" i="17" s="1"/>
  <c r="D24" i="21"/>
  <c r="G24" i="21" s="1"/>
  <c r="G37" i="21" s="1"/>
  <c r="D24" i="17"/>
  <c r="G24" i="17" s="1"/>
  <c r="G37" i="17" s="1"/>
  <c r="D24" i="20"/>
  <c r="G24" i="20" s="1"/>
  <c r="G37" i="20" s="1"/>
  <c r="D24" i="18"/>
  <c r="G24" i="18" s="1"/>
  <c r="G37" i="18" s="1"/>
  <c r="D28" i="21"/>
  <c r="G28" i="21" s="1"/>
  <c r="G41" i="21" s="1"/>
  <c r="D28" i="17"/>
  <c r="G28" i="17" s="1"/>
  <c r="G41" i="17" s="1"/>
  <c r="D28" i="20"/>
  <c r="G28" i="20" s="1"/>
  <c r="G41" i="20" s="1"/>
  <c r="D28" i="18"/>
  <c r="G28" i="18" s="1"/>
  <c r="G41" i="18" s="1"/>
  <c r="AG25" i="17"/>
  <c r="AJ25" i="17" s="1"/>
  <c r="G61" i="17" s="1"/>
  <c r="Y20" i="18"/>
  <c r="Y15" i="18"/>
  <c r="I18" i="21"/>
  <c r="L18" i="21" s="1"/>
  <c r="G44" i="21" s="1"/>
  <c r="Z10" i="10"/>
  <c r="Z20" i="10"/>
  <c r="Z24" i="10"/>
  <c r="Z28" i="10"/>
  <c r="W8" i="18"/>
  <c r="Z8" i="18" s="1"/>
  <c r="G48" i="18" s="1"/>
  <c r="W8" i="21"/>
  <c r="Z8" i="21" s="1"/>
  <c r="G48" i="21" s="1"/>
  <c r="W8" i="17"/>
  <c r="Z8" i="17" s="1"/>
  <c r="G48" i="17" s="1"/>
  <c r="W8" i="20"/>
  <c r="Z8" i="20" s="1"/>
  <c r="G48" i="20" s="1"/>
  <c r="AL14" i="17"/>
  <c r="AO14" i="17" s="1"/>
  <c r="G66" i="17" s="1"/>
  <c r="AL14" i="18"/>
  <c r="AO14" i="18" s="1"/>
  <c r="G66" i="18" s="1"/>
  <c r="AL14" i="21"/>
  <c r="AO14" i="21" s="1"/>
  <c r="G66" i="21" s="1"/>
  <c r="W20" i="17"/>
  <c r="W20" i="18"/>
  <c r="Z20" i="18" s="1"/>
  <c r="G56" i="18" s="1"/>
  <c r="W20" i="21"/>
  <c r="Z20" i="21" s="1"/>
  <c r="G56" i="21" s="1"/>
  <c r="AL14" i="20"/>
  <c r="AO14" i="20" s="1"/>
  <c r="G66" i="20" s="1"/>
  <c r="AL13" i="21"/>
  <c r="AO13" i="21" s="1"/>
  <c r="G65" i="21" s="1"/>
  <c r="Z8" i="9"/>
  <c r="Z18" i="9"/>
  <c r="Z22" i="9"/>
  <c r="Z26" i="9"/>
  <c r="Z8" i="10"/>
  <c r="Z18" i="10"/>
  <c r="Z22" i="10"/>
  <c r="Z26" i="10"/>
  <c r="AQ14" i="21"/>
  <c r="AT14" i="21" s="1"/>
  <c r="G70" i="21" s="1"/>
  <c r="AQ14" i="17"/>
  <c r="AT14" i="17" s="1"/>
  <c r="G70" i="17" s="1"/>
  <c r="AQ14" i="20"/>
  <c r="AT14" i="20" s="1"/>
  <c r="G70" i="20" s="1"/>
  <c r="D25" i="21"/>
  <c r="G25" i="21" s="1"/>
  <c r="G38" i="21" s="1"/>
  <c r="D25" i="17"/>
  <c r="G25" i="17" s="1"/>
  <c r="G38" i="17" s="1"/>
  <c r="D25" i="20"/>
  <c r="G25" i="20" s="1"/>
  <c r="G38" i="20" s="1"/>
  <c r="D25" i="18"/>
  <c r="G25" i="18" s="1"/>
  <c r="G38" i="18" s="1"/>
  <c r="Y19" i="17"/>
  <c r="Y14" i="17"/>
  <c r="AJ22" i="17"/>
  <c r="G58" i="17" s="1"/>
  <c r="Y20" i="17"/>
  <c r="Y13" i="20"/>
  <c r="Y14" i="21"/>
  <c r="Y15" i="21"/>
  <c r="Y13" i="17"/>
  <c r="Y14" i="18"/>
  <c r="K13" i="21"/>
  <c r="AA12" i="9" l="1"/>
  <c r="G75" i="9" s="1"/>
  <c r="AA13" i="9"/>
  <c r="G76" i="9" s="1"/>
  <c r="M12" i="7"/>
  <c r="G59" i="7" s="1"/>
  <c r="AA10" i="7"/>
  <c r="G74" i="7" s="1"/>
  <c r="AA13" i="6"/>
  <c r="G76" i="6" s="1"/>
  <c r="X22" i="7"/>
  <c r="X31" i="7"/>
  <c r="AA31" i="7" s="1"/>
  <c r="G88" i="7" s="1"/>
  <c r="X22" i="9"/>
  <c r="AA22" i="9" s="1"/>
  <c r="G81" i="9" s="1"/>
  <c r="C3" i="28"/>
  <c r="P19" i="3"/>
  <c r="X27" i="9"/>
  <c r="X31" i="9"/>
  <c r="AA31" i="9" s="1"/>
  <c r="G88" i="9" s="1"/>
  <c r="C2" i="28"/>
  <c r="P18" i="3"/>
  <c r="H26" i="7"/>
  <c r="X22" i="10"/>
  <c r="AA22" i="10" s="1"/>
  <c r="G81" i="10" s="1"/>
  <c r="X27" i="10"/>
  <c r="AA27" i="10" s="1"/>
  <c r="G85" i="10" s="1"/>
  <c r="X31" i="10"/>
  <c r="AA31" i="10" s="1"/>
  <c r="G88" i="10" s="1"/>
  <c r="O15" i="14"/>
  <c r="X22" i="6"/>
  <c r="AA22" i="6" s="1"/>
  <c r="G81" i="6" s="1"/>
  <c r="C4" i="28"/>
  <c r="P20" i="3"/>
  <c r="X27" i="6"/>
  <c r="G32" i="20"/>
  <c r="G55" i="10"/>
  <c r="G55" i="7"/>
  <c r="G53" i="6"/>
  <c r="G53" i="10"/>
  <c r="G54" i="7"/>
  <c r="AA10" i="6"/>
  <c r="G74" i="6" s="1"/>
  <c r="M26" i="6"/>
  <c r="AA28" i="10"/>
  <c r="G86" i="10" s="1"/>
  <c r="AA26" i="7"/>
  <c r="G84" i="7" s="1"/>
  <c r="E33" i="20"/>
  <c r="G55" i="9"/>
  <c r="G55" i="6"/>
  <c r="E53" i="6"/>
  <c r="G53" i="9"/>
  <c r="G54" i="6"/>
  <c r="Z14" i="21"/>
  <c r="G52" i="21" s="1"/>
  <c r="M22" i="9"/>
  <c r="AA23" i="9"/>
  <c r="G82" i="9" s="1"/>
  <c r="AA26" i="6"/>
  <c r="G84" i="6" s="1"/>
  <c r="G63" i="7"/>
  <c r="G54" i="10"/>
  <c r="Z15" i="21"/>
  <c r="G53" i="21" s="1"/>
  <c r="M18" i="7"/>
  <c r="G60" i="7" s="1"/>
  <c r="H26" i="10"/>
  <c r="AA28" i="7"/>
  <c r="G86" i="7" s="1"/>
  <c r="G32" i="21"/>
  <c r="G63" i="6"/>
  <c r="G63" i="10"/>
  <c r="G53" i="7"/>
  <c r="G54" i="9"/>
  <c r="Z15" i="18"/>
  <c r="G53" i="18" s="1"/>
  <c r="L13" i="21"/>
  <c r="G43" i="21" s="1"/>
  <c r="AA22" i="7"/>
  <c r="G81" i="7" s="1"/>
  <c r="AA28" i="6"/>
  <c r="G86" i="6" s="1"/>
  <c r="AA32" i="7"/>
  <c r="G89" i="7" s="1"/>
  <c r="E33" i="18"/>
  <c r="G59" i="18"/>
  <c r="E33" i="17"/>
  <c r="G59" i="17"/>
  <c r="E18" i="10"/>
  <c r="H18" i="10" s="1"/>
  <c r="E18" i="9"/>
  <c r="H18" i="9" s="1"/>
  <c r="S18" i="3"/>
  <c r="E18" i="6"/>
  <c r="H18" i="6" s="1"/>
  <c r="E18" i="7"/>
  <c r="H18" i="7" s="1"/>
  <c r="M30" i="9"/>
  <c r="AC22" i="10"/>
  <c r="AC22" i="9"/>
  <c r="AC22" i="7"/>
  <c r="AC22" i="6"/>
  <c r="M8" i="6"/>
  <c r="G58" i="6" s="1"/>
  <c r="AC26" i="10"/>
  <c r="AC26" i="9"/>
  <c r="AC26" i="7"/>
  <c r="AC26" i="6"/>
  <c r="M22" i="10"/>
  <c r="AA9" i="9"/>
  <c r="G73" i="9" s="1"/>
  <c r="AA24" i="6"/>
  <c r="G83" i="6" s="1"/>
  <c r="E30" i="9"/>
  <c r="H30" i="9" s="1"/>
  <c r="E30" i="10"/>
  <c r="H30" i="10" s="1"/>
  <c r="E30" i="7"/>
  <c r="H30" i="7" s="1"/>
  <c r="E30" i="6"/>
  <c r="H30" i="6" s="1"/>
  <c r="S30" i="3"/>
  <c r="W13" i="20"/>
  <c r="Z13" i="20" s="1"/>
  <c r="G51" i="20" s="1"/>
  <c r="W13" i="18"/>
  <c r="Z13" i="18" s="1"/>
  <c r="G51" i="18" s="1"/>
  <c r="W13" i="21"/>
  <c r="Z13" i="21" s="1"/>
  <c r="G51" i="21" s="1"/>
  <c r="W13" i="17"/>
  <c r="Z13" i="17" s="1"/>
  <c r="G51" i="17" s="1"/>
  <c r="M12" i="10"/>
  <c r="M18" i="6"/>
  <c r="G60" i="6" s="1"/>
  <c r="M8" i="7"/>
  <c r="M26" i="7"/>
  <c r="AA23" i="10"/>
  <c r="G82" i="10" s="1"/>
  <c r="AA9" i="10"/>
  <c r="G73" i="10" s="1"/>
  <c r="AA8" i="10"/>
  <c r="G72" i="10" s="1"/>
  <c r="AA28" i="9"/>
  <c r="G86" i="9" s="1"/>
  <c r="AA27" i="9"/>
  <c r="G85" i="9" s="1"/>
  <c r="AA32" i="9"/>
  <c r="G89" i="9" s="1"/>
  <c r="AA24" i="7"/>
  <c r="G83" i="7" s="1"/>
  <c r="Z14" i="18"/>
  <c r="G52" i="18" s="1"/>
  <c r="X5" i="10"/>
  <c r="AA5" i="10" s="1"/>
  <c r="X5" i="9"/>
  <c r="AA5" i="9" s="1"/>
  <c r="X5" i="6"/>
  <c r="AA5" i="6" s="1"/>
  <c r="G70" i="6" s="1"/>
  <c r="X5" i="7"/>
  <c r="AA5" i="7" s="1"/>
  <c r="M18" i="9"/>
  <c r="G60" i="9" s="1"/>
  <c r="M8" i="9"/>
  <c r="AA10" i="9"/>
  <c r="G74" i="9" s="1"/>
  <c r="M26" i="10"/>
  <c r="AA23" i="6"/>
  <c r="G82" i="6" s="1"/>
  <c r="AA30" i="6"/>
  <c r="G87" i="6" s="1"/>
  <c r="AA9" i="7"/>
  <c r="G73" i="7" s="1"/>
  <c r="AA26" i="9"/>
  <c r="G84" i="9" s="1"/>
  <c r="AA24" i="9"/>
  <c r="AL15" i="17"/>
  <c r="AO15" i="17" s="1"/>
  <c r="AL15" i="18"/>
  <c r="AO15" i="18" s="1"/>
  <c r="G67" i="18" s="1"/>
  <c r="AL15" i="21"/>
  <c r="AO15" i="21" s="1"/>
  <c r="AL15" i="20"/>
  <c r="AO15" i="20" s="1"/>
  <c r="G67" i="20" s="1"/>
  <c r="W18" i="21"/>
  <c r="Z18" i="21" s="1"/>
  <c r="G54" i="21" s="1"/>
  <c r="W18" i="17"/>
  <c r="Z18" i="17" s="1"/>
  <c r="W18" i="20"/>
  <c r="Z18" i="20" s="1"/>
  <c r="G54" i="20" s="1"/>
  <c r="W18" i="18"/>
  <c r="Z18" i="18" s="1"/>
  <c r="AC8" i="10"/>
  <c r="AC8" i="9"/>
  <c r="AC8" i="6"/>
  <c r="AC8" i="7"/>
  <c r="M18" i="10"/>
  <c r="G60" i="10" s="1"/>
  <c r="M8" i="10"/>
  <c r="G58" i="10" s="1"/>
  <c r="AA10" i="10"/>
  <c r="G74" i="10" s="1"/>
  <c r="M22" i="6"/>
  <c r="AA8" i="9"/>
  <c r="G72" i="9" s="1"/>
  <c r="AA26" i="10"/>
  <c r="G84" i="10" s="1"/>
  <c r="AA24" i="10"/>
  <c r="G83" i="10" s="1"/>
  <c r="M26" i="9"/>
  <c r="Z20" i="17"/>
  <c r="G56" i="17" s="1"/>
  <c r="W19" i="21"/>
  <c r="Z19" i="21" s="1"/>
  <c r="G55" i="21" s="1"/>
  <c r="W19" i="17"/>
  <c r="Z19" i="17" s="1"/>
  <c r="G55" i="17" s="1"/>
  <c r="W19" i="20"/>
  <c r="Z19" i="20" s="1"/>
  <c r="W19" i="18"/>
  <c r="Z19" i="18" s="1"/>
  <c r="G55" i="18" s="1"/>
  <c r="E31" i="20"/>
  <c r="M22" i="7"/>
  <c r="AA30" i="7"/>
  <c r="G87" i="7" s="1"/>
  <c r="AA9" i="6"/>
  <c r="G73" i="6" s="1"/>
  <c r="AA8" i="6"/>
  <c r="G72" i="6" s="1"/>
  <c r="AA27" i="6"/>
  <c r="G85" i="6" s="1"/>
  <c r="AA14" i="10"/>
  <c r="G77" i="10" s="1"/>
  <c r="AQ6" i="18"/>
  <c r="AT6" i="18" s="1"/>
  <c r="G68" i="18" s="1"/>
  <c r="AQ6" i="21"/>
  <c r="AT6" i="21" s="1"/>
  <c r="AQ6" i="17"/>
  <c r="AT6" i="17" s="1"/>
  <c r="AQ6" i="20"/>
  <c r="AT6" i="20" s="1"/>
  <c r="Z14" i="17"/>
  <c r="G52" i="17" s="1"/>
  <c r="H26" i="6"/>
  <c r="AA23" i="7"/>
  <c r="AA8" i="7"/>
  <c r="G72" i="7" s="1"/>
  <c r="AA27" i="7"/>
  <c r="AA32" i="6"/>
  <c r="G89" i="6" s="1"/>
  <c r="AA14" i="7"/>
  <c r="E4" i="28" l="1"/>
  <c r="F4" i="28"/>
  <c r="D4" i="28"/>
  <c r="G4" i="28"/>
  <c r="X19" i="6"/>
  <c r="AA19" i="6" s="1"/>
  <c r="G79" i="6" s="1"/>
  <c r="X19" i="7"/>
  <c r="AA19" i="7" s="1"/>
  <c r="G79" i="7" s="1"/>
  <c r="X19" i="9"/>
  <c r="AA19" i="9" s="1"/>
  <c r="G79" i="9" s="1"/>
  <c r="X19" i="10"/>
  <c r="AA19" i="10" s="1"/>
  <c r="G79" i="10" s="1"/>
  <c r="F3" i="28"/>
  <c r="D3" i="28"/>
  <c r="E3" i="28"/>
  <c r="G3" i="28"/>
  <c r="X18" i="7"/>
  <c r="AA18" i="7" s="1"/>
  <c r="G78" i="7" s="1"/>
  <c r="X18" i="6"/>
  <c r="AA18" i="6" s="1"/>
  <c r="G78" i="6" s="1"/>
  <c r="X18" i="9"/>
  <c r="AA18" i="9" s="1"/>
  <c r="G78" i="9" s="1"/>
  <c r="X18" i="10"/>
  <c r="AA18" i="10" s="1"/>
  <c r="G78" i="10" s="1"/>
  <c r="X20" i="10"/>
  <c r="AA20" i="10" s="1"/>
  <c r="G80" i="10" s="1"/>
  <c r="X20" i="9"/>
  <c r="AA20" i="9" s="1"/>
  <c r="G80" i="9" s="1"/>
  <c r="X20" i="7"/>
  <c r="AA20" i="7" s="1"/>
  <c r="G80" i="7" s="1"/>
  <c r="X20" i="6"/>
  <c r="AA20" i="6" s="1"/>
  <c r="G80" i="6" s="1"/>
  <c r="D2" i="28"/>
  <c r="F2" i="28"/>
  <c r="E2" i="28"/>
  <c r="G2" i="28"/>
  <c r="G85" i="7"/>
  <c r="G82" i="7"/>
  <c r="G68" i="21"/>
  <c r="G61" i="7"/>
  <c r="G62" i="9"/>
  <c r="G61" i="6"/>
  <c r="G62" i="10"/>
  <c r="G70" i="10"/>
  <c r="G56" i="7"/>
  <c r="E30" i="20"/>
  <c r="G68" i="20"/>
  <c r="E32" i="17"/>
  <c r="G54" i="17"/>
  <c r="G58" i="9"/>
  <c r="G70" i="9"/>
  <c r="G59" i="10"/>
  <c r="G61" i="10"/>
  <c r="G56" i="6"/>
  <c r="G56" i="10"/>
  <c r="E52" i="6"/>
  <c r="G77" i="7"/>
  <c r="E32" i="18"/>
  <c r="G54" i="18"/>
  <c r="G70" i="7"/>
  <c r="G62" i="7"/>
  <c r="G63" i="9"/>
  <c r="G56" i="9"/>
  <c r="G62" i="6"/>
  <c r="I16" i="28"/>
  <c r="B11" i="28" s="1"/>
  <c r="E30" i="17"/>
  <c r="G68" i="17"/>
  <c r="E32" i="20"/>
  <c r="G55" i="20"/>
  <c r="G83" i="9"/>
  <c r="G58" i="7"/>
  <c r="G61" i="9"/>
  <c r="E30" i="18"/>
  <c r="B31" i="18"/>
  <c r="B31" i="21"/>
  <c r="B31" i="20"/>
  <c r="G67" i="21"/>
  <c r="E31" i="17"/>
  <c r="G67" i="17"/>
  <c r="G71" i="18"/>
  <c r="H67" i="18" s="1"/>
  <c r="G71" i="20"/>
  <c r="E31" i="18"/>
  <c r="AC18" i="10"/>
  <c r="AC18" i="9"/>
  <c r="AC18" i="7"/>
  <c r="AC18" i="6"/>
  <c r="AC30" i="10"/>
  <c r="AC30" i="9"/>
  <c r="AC30" i="7"/>
  <c r="AC30" i="6"/>
  <c r="G90" i="6" l="1"/>
  <c r="H85" i="6" s="1"/>
  <c r="I20" i="28"/>
  <c r="B13" i="28" s="1"/>
  <c r="C14" i="28" s="1"/>
  <c r="G90" i="10"/>
  <c r="H54" i="10" s="1"/>
  <c r="I14" i="28"/>
  <c r="B9" i="28" s="1"/>
  <c r="F10" i="28" s="1"/>
  <c r="G90" i="9"/>
  <c r="H57" i="9" s="1"/>
  <c r="I10" i="28"/>
  <c r="B7" i="28" s="1"/>
  <c r="D8" i="28" s="1"/>
  <c r="E54" i="6"/>
  <c r="D12" i="28"/>
  <c r="F12" i="28"/>
  <c r="E12" i="28"/>
  <c r="C12" i="28"/>
  <c r="H83" i="6"/>
  <c r="H89" i="6"/>
  <c r="E5" i="24" s="1"/>
  <c r="H55" i="6"/>
  <c r="H67" i="6"/>
  <c r="H77" i="6"/>
  <c r="H69" i="6"/>
  <c r="H57" i="6"/>
  <c r="H88" i="6"/>
  <c r="H75" i="6"/>
  <c r="G90" i="7"/>
  <c r="H56" i="7" s="1"/>
  <c r="H82" i="6"/>
  <c r="H80" i="6"/>
  <c r="E3" i="24" s="1"/>
  <c r="H84" i="6"/>
  <c r="H87" i="6"/>
  <c r="G71" i="17"/>
  <c r="H67" i="17" s="1"/>
  <c r="H46" i="20"/>
  <c r="H44" i="20"/>
  <c r="G8" i="24" s="1"/>
  <c r="H45" i="20"/>
  <c r="H57" i="20"/>
  <c r="H41" i="20"/>
  <c r="H54" i="20"/>
  <c r="H35" i="20"/>
  <c r="H52" i="20"/>
  <c r="H49" i="20"/>
  <c r="H34" i="20"/>
  <c r="H56" i="20"/>
  <c r="H62" i="20"/>
  <c r="H43" i="20"/>
  <c r="H60" i="20"/>
  <c r="H69" i="20"/>
  <c r="H42" i="20"/>
  <c r="H47" i="20"/>
  <c r="H70" i="20"/>
  <c r="H51" i="20"/>
  <c r="H68" i="20"/>
  <c r="H40" i="20"/>
  <c r="H50" i="20"/>
  <c r="H39" i="20"/>
  <c r="H59" i="20"/>
  <c r="H48" i="20"/>
  <c r="H58" i="20"/>
  <c r="H61" i="20"/>
  <c r="H55" i="20"/>
  <c r="H53" i="20"/>
  <c r="H64" i="20"/>
  <c r="H32" i="20"/>
  <c r="H38" i="20"/>
  <c r="H63" i="20"/>
  <c r="H36" i="20"/>
  <c r="H37" i="20"/>
  <c r="H33" i="20"/>
  <c r="H65" i="20"/>
  <c r="H66" i="20"/>
  <c r="H67" i="20"/>
  <c r="G71" i="21"/>
  <c r="H67" i="21" s="1"/>
  <c r="H39" i="18"/>
  <c r="H64" i="18"/>
  <c r="H58" i="18"/>
  <c r="H46" i="18"/>
  <c r="H47" i="18"/>
  <c r="H60" i="18"/>
  <c r="H41" i="18"/>
  <c r="H55" i="18"/>
  <c r="H56" i="18"/>
  <c r="H49" i="18"/>
  <c r="H35" i="18"/>
  <c r="H62" i="18"/>
  <c r="H53" i="18"/>
  <c r="H54" i="18"/>
  <c r="H63" i="18"/>
  <c r="H52" i="18"/>
  <c r="H57" i="18"/>
  <c r="H59" i="18"/>
  <c r="H70" i="18"/>
  <c r="H40" i="18"/>
  <c r="H48" i="18"/>
  <c r="H43" i="18"/>
  <c r="H33" i="18"/>
  <c r="H37" i="18"/>
  <c r="H42" i="18"/>
  <c r="H45" i="18"/>
  <c r="H44" i="18"/>
  <c r="G6" i="24" s="1"/>
  <c r="H34" i="18"/>
  <c r="H51" i="18"/>
  <c r="H69" i="18"/>
  <c r="H61" i="18"/>
  <c r="H68" i="18"/>
  <c r="H36" i="18"/>
  <c r="H50" i="18"/>
  <c r="H38" i="18"/>
  <c r="H32" i="18"/>
  <c r="H66" i="18"/>
  <c r="H65" i="18"/>
  <c r="H60" i="10" l="1"/>
  <c r="E12" i="24" s="1"/>
  <c r="H70" i="10"/>
  <c r="H88" i="10"/>
  <c r="H89" i="10"/>
  <c r="E13" i="24" s="1"/>
  <c r="H82" i="10"/>
  <c r="H69" i="10"/>
  <c r="H56" i="10"/>
  <c r="H71" i="10"/>
  <c r="H66" i="10"/>
  <c r="H75" i="10"/>
  <c r="H76" i="10"/>
  <c r="H62" i="10"/>
  <c r="H65" i="10"/>
  <c r="H68" i="10"/>
  <c r="H59" i="10"/>
  <c r="H79" i="10"/>
  <c r="H82" i="9"/>
  <c r="H76" i="9"/>
  <c r="H56" i="9"/>
  <c r="H59" i="9"/>
  <c r="H74" i="9"/>
  <c r="H70" i="9"/>
  <c r="H73" i="9"/>
  <c r="H55" i="9"/>
  <c r="C10" i="28"/>
  <c r="D10" i="28"/>
  <c r="E10" i="28"/>
  <c r="H54" i="6"/>
  <c r="H65" i="6"/>
  <c r="H64" i="6"/>
  <c r="H70" i="6"/>
  <c r="H59" i="6"/>
  <c r="H79" i="6"/>
  <c r="H56" i="6"/>
  <c r="H76" i="6"/>
  <c r="H68" i="6"/>
  <c r="H74" i="6"/>
  <c r="H71" i="6"/>
  <c r="H61" i="6"/>
  <c r="H58" i="6"/>
  <c r="H62" i="6"/>
  <c r="H81" i="6"/>
  <c r="H66" i="6"/>
  <c r="H73" i="6"/>
  <c r="H60" i="6"/>
  <c r="E4" i="24" s="1"/>
  <c r="H78" i="6"/>
  <c r="H53" i="6"/>
  <c r="H63" i="6"/>
  <c r="H86" i="6"/>
  <c r="E8" i="28"/>
  <c r="H72" i="6"/>
  <c r="H60" i="9"/>
  <c r="E9" i="24" s="1"/>
  <c r="H89" i="9"/>
  <c r="E10" i="24" s="1"/>
  <c r="H65" i="9"/>
  <c r="H62" i="9"/>
  <c r="H83" i="9"/>
  <c r="H72" i="9"/>
  <c r="H54" i="9"/>
  <c r="H64" i="9"/>
  <c r="H61" i="9"/>
  <c r="H86" i="9"/>
  <c r="H69" i="9"/>
  <c r="H67" i="9"/>
  <c r="H84" i="9"/>
  <c r="H88" i="9"/>
  <c r="H71" i="9"/>
  <c r="H80" i="9"/>
  <c r="E8" i="24" s="1"/>
  <c r="H79" i="9"/>
  <c r="H77" i="9"/>
  <c r="H63" i="9"/>
  <c r="H58" i="9"/>
  <c r="H78" i="9"/>
  <c r="H53" i="9"/>
  <c r="H66" i="9"/>
  <c r="H63" i="10"/>
  <c r="H77" i="10"/>
  <c r="H86" i="10"/>
  <c r="H73" i="10"/>
  <c r="H80" i="10"/>
  <c r="E11" i="24" s="1"/>
  <c r="H67" i="10"/>
  <c r="H83" i="10"/>
  <c r="H84" i="10"/>
  <c r="H87" i="10"/>
  <c r="F14" i="28"/>
  <c r="H78" i="10"/>
  <c r="H61" i="10"/>
  <c r="H57" i="10"/>
  <c r="H64" i="10"/>
  <c r="H81" i="10"/>
  <c r="H53" i="10"/>
  <c r="F8" i="28"/>
  <c r="D14" i="28"/>
  <c r="E14" i="28"/>
  <c r="H81" i="9"/>
  <c r="H85" i="9"/>
  <c r="H75" i="9"/>
  <c r="H87" i="9"/>
  <c r="H72" i="10"/>
  <c r="H74" i="10"/>
  <c r="H55" i="10"/>
  <c r="H85" i="10"/>
  <c r="C8" i="28"/>
  <c r="H58" i="10"/>
  <c r="H68" i="9"/>
  <c r="H82" i="7"/>
  <c r="H77" i="7"/>
  <c r="H58" i="7"/>
  <c r="H85" i="7"/>
  <c r="H61" i="7"/>
  <c r="H70" i="7"/>
  <c r="H62" i="7"/>
  <c r="H75" i="7"/>
  <c r="H64" i="7"/>
  <c r="H88" i="7"/>
  <c r="H59" i="7"/>
  <c r="H76" i="7"/>
  <c r="H65" i="7"/>
  <c r="H67" i="7"/>
  <c r="H66" i="7"/>
  <c r="H74" i="7"/>
  <c r="H69" i="7"/>
  <c r="H68" i="7"/>
  <c r="H57" i="7"/>
  <c r="H71" i="7"/>
  <c r="H73" i="7"/>
  <c r="H86" i="7"/>
  <c r="H54" i="7"/>
  <c r="H60" i="7"/>
  <c r="E6" i="24" s="1"/>
  <c r="H78" i="7"/>
  <c r="H80" i="7"/>
  <c r="E7" i="24" s="1"/>
  <c r="H89" i="7"/>
  <c r="H72" i="7"/>
  <c r="H63" i="7"/>
  <c r="H83" i="7"/>
  <c r="H84" i="7"/>
  <c r="H55" i="7"/>
  <c r="H79" i="7"/>
  <c r="H87" i="7"/>
  <c r="H81" i="7"/>
  <c r="H53" i="7"/>
  <c r="H71" i="20"/>
  <c r="H71" i="18"/>
  <c r="H55" i="21"/>
  <c r="H61" i="21"/>
  <c r="H37" i="21"/>
  <c r="H35" i="21"/>
  <c r="H69" i="21"/>
  <c r="H43" i="21"/>
  <c r="H63" i="21"/>
  <c r="H51" i="21"/>
  <c r="H53" i="21"/>
  <c r="H59" i="21"/>
  <c r="H49" i="21"/>
  <c r="H33" i="21"/>
  <c r="H68" i="21"/>
  <c r="H70" i="21"/>
  <c r="H38" i="21"/>
  <c r="H39" i="21"/>
  <c r="H64" i="21"/>
  <c r="H42" i="21"/>
  <c r="H60" i="21"/>
  <c r="H34" i="21"/>
  <c r="H57" i="21"/>
  <c r="H52" i="21"/>
  <c r="H62" i="21"/>
  <c r="H56" i="21"/>
  <c r="H45" i="21"/>
  <c r="H48" i="21"/>
  <c r="H58" i="21"/>
  <c r="H36" i="21"/>
  <c r="H40" i="21"/>
  <c r="H54" i="21"/>
  <c r="H41" i="21"/>
  <c r="H46" i="21"/>
  <c r="H44" i="21"/>
  <c r="G11" i="24" s="1"/>
  <c r="H32" i="21"/>
  <c r="H50" i="21"/>
  <c r="H47" i="21"/>
  <c r="H65" i="21"/>
  <c r="H66" i="21"/>
  <c r="H65" i="17"/>
  <c r="H45" i="17"/>
  <c r="H37" i="17"/>
  <c r="H43" i="17"/>
  <c r="H51" i="17"/>
  <c r="H57" i="17"/>
  <c r="H54" i="17"/>
  <c r="H36" i="17"/>
  <c r="H63" i="17"/>
  <c r="H41" i="17"/>
  <c r="H56" i="17"/>
  <c r="H47" i="17"/>
  <c r="H53" i="17"/>
  <c r="H42" i="17"/>
  <c r="H32" i="17"/>
  <c r="H69" i="17"/>
  <c r="H39" i="17"/>
  <c r="H62" i="17"/>
  <c r="H64" i="17"/>
  <c r="H33" i="17"/>
  <c r="H68" i="17"/>
  <c r="H35" i="17"/>
  <c r="H34" i="17"/>
  <c r="H58" i="17"/>
  <c r="H60" i="17"/>
  <c r="H46" i="17"/>
  <c r="H55" i="17"/>
  <c r="H70" i="17"/>
  <c r="H61" i="17"/>
  <c r="H48" i="17"/>
  <c r="H59" i="17"/>
  <c r="H38" i="17"/>
  <c r="H52" i="17"/>
  <c r="H50" i="17"/>
  <c r="H49" i="17"/>
  <c r="H44" i="17"/>
  <c r="G3" i="24" s="1"/>
  <c r="H40" i="17"/>
  <c r="H66" i="17"/>
  <c r="H90" i="6" l="1"/>
  <c r="H90" i="10"/>
  <c r="H90" i="9"/>
  <c r="H90" i="7"/>
  <c r="H71" i="21"/>
  <c r="H71" i="17"/>
</calcChain>
</file>

<file path=xl/sharedStrings.xml><?xml version="1.0" encoding="utf-8"?>
<sst xmlns="http://schemas.openxmlformats.org/spreadsheetml/2006/main" count="2376" uniqueCount="285">
  <si>
    <t>No</t>
  </si>
  <si>
    <t>Unit Proses</t>
  </si>
  <si>
    <t>Nama Alat</t>
  </si>
  <si>
    <t>Input</t>
  </si>
  <si>
    <t>Output</t>
  </si>
  <si>
    <t>Keterangan</t>
  </si>
  <si>
    <t>Bahan Baku</t>
  </si>
  <si>
    <t>Jumlah</t>
  </si>
  <si>
    <t>Satuan</t>
  </si>
  <si>
    <t>Bahan bakar/ energi listrik</t>
  </si>
  <si>
    <t>Bahan Kimia/Peledak</t>
  </si>
  <si>
    <t>Air</t>
  </si>
  <si>
    <t>Emisi yang Dihasilkan</t>
  </si>
  <si>
    <t>Produk yang dihasilkan</t>
  </si>
  <si>
    <t>Limbah B3</t>
  </si>
  <si>
    <t>Limbah Cair</t>
  </si>
  <si>
    <t>Limbah Padat Domestik</t>
  </si>
  <si>
    <t>jumlah</t>
  </si>
  <si>
    <t>Land Clearing (Hulu/Cradle)</t>
  </si>
  <si>
    <t>Excavator</t>
  </si>
  <si>
    <t>Lahan</t>
  </si>
  <si>
    <t>Ha</t>
  </si>
  <si>
    <t>Solar</t>
  </si>
  <si>
    <t>L</t>
  </si>
  <si>
    <t>SOx</t>
  </si>
  <si>
    <t>tonSOx</t>
  </si>
  <si>
    <t>Lahan yang dibuka</t>
  </si>
  <si>
    <t>ha</t>
  </si>
  <si>
    <t>Dump truck</t>
  </si>
  <si>
    <t>NOx</t>
  </si>
  <si>
    <t>tonNOx</t>
  </si>
  <si>
    <t>CO2</t>
  </si>
  <si>
    <t>tonCO2</t>
  </si>
  <si>
    <t>Soil removal</t>
  </si>
  <si>
    <t>Soil</t>
  </si>
  <si>
    <t>m3</t>
  </si>
  <si>
    <t>Grader</t>
  </si>
  <si>
    <t>Drilling n Blasting</t>
  </si>
  <si>
    <t>Drilling machine</t>
  </si>
  <si>
    <t>Batuan penutup (compact)</t>
  </si>
  <si>
    <t>BCM</t>
  </si>
  <si>
    <t>Detonator</t>
  </si>
  <si>
    <t>kg</t>
  </si>
  <si>
    <t>Batuan penutup (blasted)</t>
  </si>
  <si>
    <t>Boster 400 gr</t>
  </si>
  <si>
    <t>Emulsion</t>
  </si>
  <si>
    <t>AN</t>
  </si>
  <si>
    <t>Leadline 762</t>
  </si>
  <si>
    <t>meter</t>
  </si>
  <si>
    <t>Material Removal (OB)</t>
  </si>
  <si>
    <t>OB</t>
  </si>
  <si>
    <t>Hauler</t>
  </si>
  <si>
    <t>Coal Getting</t>
  </si>
  <si>
    <t>Excavator/Backhoe</t>
  </si>
  <si>
    <t>Coal</t>
  </si>
  <si>
    <t>ton</t>
  </si>
  <si>
    <t>Coal Hauling</t>
  </si>
  <si>
    <t>Dozer</t>
  </si>
  <si>
    <t>Coal Crushing (Hilir/Grave)</t>
  </si>
  <si>
    <t>Coal crusher</t>
  </si>
  <si>
    <t>Metal catcher</t>
  </si>
  <si>
    <t>Metal detector</t>
  </si>
  <si>
    <t>Crane truck</t>
  </si>
  <si>
    <t>Conveyor belt</t>
  </si>
  <si>
    <t>Loading truck</t>
  </si>
  <si>
    <t>TOTAL PRODUK</t>
  </si>
  <si>
    <t>F. E. Penggunaan Bahan Bakar Diesel/Solar</t>
  </si>
  <si>
    <t>Parameter</t>
  </si>
  <si>
    <t>Nilai</t>
  </si>
  <si>
    <t>Sumber</t>
  </si>
  <si>
    <t>Sox</t>
  </si>
  <si>
    <t>Ton Sox/TJ</t>
  </si>
  <si>
    <t>Permen LH No. 12 Tahun 2012</t>
  </si>
  <si>
    <t>Nox</t>
  </si>
  <si>
    <t>Ton Nox/TJ</t>
  </si>
  <si>
    <t>Partikulat</t>
  </si>
  <si>
    <t>Ton Partikulat/TJ</t>
  </si>
  <si>
    <t>Ton CO2/TJ</t>
  </si>
  <si>
    <t>Pedoman Penyelenggaraan Inventarisasi GRK Nasional KLHK</t>
  </si>
  <si>
    <t>CH4</t>
  </si>
  <si>
    <t>Ton CH4/TJ</t>
  </si>
  <si>
    <t>N2O</t>
  </si>
  <si>
    <t>Ton N2O/TJ</t>
  </si>
  <si>
    <t>Nilai Kalor Solar</t>
  </si>
  <si>
    <t>TJ/liter</t>
  </si>
  <si>
    <t>CF</t>
  </si>
  <si>
    <t>Nilai Karakterisasi</t>
  </si>
  <si>
    <t>Land Clearing</t>
  </si>
  <si>
    <t>Soil Removal</t>
  </si>
  <si>
    <t>Drilling &amp; Blasting</t>
  </si>
  <si>
    <t>Material Removal</t>
  </si>
  <si>
    <t>Coal Crushing</t>
  </si>
  <si>
    <t>TOTAL GWP</t>
  </si>
  <si>
    <t>kgCO2eq/ton</t>
  </si>
  <si>
    <t>TOTAL ODP</t>
  </si>
  <si>
    <t>kgCFC-11eq/ton</t>
  </si>
  <si>
    <t>TOTAL AP</t>
  </si>
  <si>
    <t>kgSO2eq/ton</t>
  </si>
  <si>
    <t>TOTAL EP</t>
  </si>
  <si>
    <t>kgPO4eq/ton</t>
  </si>
  <si>
    <t>Reklamasi</t>
  </si>
  <si>
    <t>WWTP</t>
  </si>
  <si>
    <t>Utility Mining</t>
  </si>
  <si>
    <t>Workshop</t>
  </si>
  <si>
    <t>Proses</t>
  </si>
  <si>
    <t>Bahan Kimia</t>
  </si>
  <si>
    <t>Backfilling</t>
  </si>
  <si>
    <t>Tanah</t>
  </si>
  <si>
    <t>Nursery</t>
  </si>
  <si>
    <t>Bibit</t>
  </si>
  <si>
    <t>unit</t>
  </si>
  <si>
    <t>Tanaman</t>
  </si>
  <si>
    <t>Plastik</t>
  </si>
  <si>
    <t>Kompos</t>
  </si>
  <si>
    <t>Mobilisasi tanaman</t>
  </si>
  <si>
    <t>Kapur</t>
  </si>
  <si>
    <t>Air buangan</t>
  </si>
  <si>
    <t>Kemasan bekas kapur</t>
  </si>
  <si>
    <t>Tawas</t>
  </si>
  <si>
    <t>TSS</t>
  </si>
  <si>
    <t>mg</t>
  </si>
  <si>
    <t>Kemasan bekas tawas</t>
  </si>
  <si>
    <t>Fe</t>
  </si>
  <si>
    <t>Mn</t>
  </si>
  <si>
    <t>Oli pelumas</t>
  </si>
  <si>
    <t>Accu</t>
  </si>
  <si>
    <t>Filter</t>
  </si>
  <si>
    <t>Hose</t>
  </si>
  <si>
    <t>Majun</t>
  </si>
  <si>
    <t>Material</t>
  </si>
  <si>
    <t>Grease</t>
  </si>
  <si>
    <t>Nilai Karakteristik</t>
  </si>
  <si>
    <t>Characterisation Factor</t>
  </si>
  <si>
    <t>Sumber Data</t>
  </si>
  <si>
    <t>Jenis</t>
  </si>
  <si>
    <t>Abiotic Depletion (kg Sb eq)</t>
  </si>
  <si>
    <t>Abiotic Depletion - Fossil Fuels (MJ)</t>
  </si>
  <si>
    <t>GWP (kgCO2eq)</t>
  </si>
  <si>
    <t>ODP (kgCFC-11eq)</t>
  </si>
  <si>
    <t>Human Toxicity (kg 1.4-DBeq)</t>
  </si>
  <si>
    <t>Acidification (kgSO2eq)</t>
  </si>
  <si>
    <t>Eutrophication (kgPO4eq)</t>
  </si>
  <si>
    <t>Photochemical Oxidation (Optional) (kgC2H4eq)</t>
  </si>
  <si>
    <t>Land Use Change</t>
  </si>
  <si>
    <t>Soil, Contaminated {GLO} market for Cut Off U CML IA Baseline</t>
  </si>
  <si>
    <t>Overburden (OB)</t>
  </si>
  <si>
    <t>Non-sulfidic overburden, off-site {GLO} | market | Cut Off U CML IA Baseline</t>
  </si>
  <si>
    <t>Coal (bituminous)</t>
  </si>
  <si>
    <t>Bituminous coal, at mine/US</t>
  </si>
  <si>
    <t>Gasoil (solar/diesel)</t>
  </si>
  <si>
    <t>Diesel {RoW} market for Cut-off U</t>
  </si>
  <si>
    <t>Carbon dioxide {RoW} | prod. | U CML IA Baseline</t>
  </si>
  <si>
    <t>Electricity</t>
  </si>
  <si>
    <t>CML IA Baseline</t>
  </si>
  <si>
    <t>Water</t>
  </si>
  <si>
    <t>Tap Water {RoW} | market | U CML IA Baseline</t>
  </si>
  <si>
    <t>Oli</t>
  </si>
  <si>
    <t>Air limbah (umum)</t>
  </si>
  <si>
    <t>Wastewater average {RoW} | market | U CML IA Baseline</t>
  </si>
  <si>
    <t>Majun bekas</t>
  </si>
  <si>
    <t>Textile,knit cotton {GLO} | market for Alloc Def U, APOS</t>
  </si>
  <si>
    <t>Sampah organik</t>
  </si>
  <si>
    <t>Municipal solid waste {RoW} | market | U CML IA Baseline</t>
  </si>
  <si>
    <t>Sampah anorganik kertas 1</t>
  </si>
  <si>
    <t>Waste paper, unsorted {RoW} | market | U CML IA Baseline</t>
  </si>
  <si>
    <t>Sampah anorganik kertas 2</t>
  </si>
  <si>
    <t>Waste paper, sorted {RoW} | market | U CML IA Baseline</t>
  </si>
  <si>
    <t>Lampu TL</t>
  </si>
  <si>
    <t>Used fluorescent lamp {GLO} | market | U CML IA Baseline</t>
  </si>
  <si>
    <t>Conveyor belt {GLO} | market | U CML IA Baseline</t>
  </si>
  <si>
    <t>Besi bekas (unsorted)</t>
  </si>
  <si>
    <t>Iron scrap,unsorted {GLO} | market | U CML IA Baseline</t>
  </si>
  <si>
    <t>Lumpur</t>
  </si>
  <si>
    <t>Raw sewage sludge {RoW} | market | U CML IA Baseline</t>
  </si>
  <si>
    <t>SOx Retained, flue gas desulfuritation {GLO} market for Cut Off U</t>
  </si>
  <si>
    <t>NOx retained {GLO} market for | Cut Off U</t>
  </si>
  <si>
    <t>Sampah anorganik plastik</t>
  </si>
  <si>
    <t>Waste plastic, mixture {RoW} | market | U CML IA Baseline</t>
  </si>
  <si>
    <t>Electronics scrap</t>
  </si>
  <si>
    <t>Electronics scrap {GLO} | market | U CML IA Baseline</t>
  </si>
  <si>
    <t>kemasan kapur/tawas</t>
  </si>
  <si>
    <t>waste polyethylene {GLO} | market for</t>
  </si>
  <si>
    <t>Majun bersih</t>
  </si>
  <si>
    <t>filter baru</t>
  </si>
  <si>
    <t>Cast Iron {GLO} Market</t>
  </si>
  <si>
    <t>Filter bekas</t>
  </si>
  <si>
    <t>Waste bulk iron, excluding reinforcement {GLO} | market for | APOS U</t>
  </si>
  <si>
    <t>Hose baru</t>
  </si>
  <si>
    <t>Polyurethane {ROW} market for</t>
  </si>
  <si>
    <t>Hose bekas</t>
  </si>
  <si>
    <t>Waste polyurethane {ROW}</t>
  </si>
  <si>
    <t>tawas</t>
  </si>
  <si>
    <t>aluminium sulfate, powder {ROW} market for</t>
  </si>
  <si>
    <t>Oli (bersih/input)</t>
  </si>
  <si>
    <t>Lubricating oil {RoW} | market | U CML IA Baseline</t>
  </si>
  <si>
    <t>Oli bekas</t>
  </si>
  <si>
    <t>Waste mineral oil {RoW}Itreatment of, hazardous waste incinerationICut-off,U:Method CML-IA baseline</t>
  </si>
  <si>
    <t>GWP</t>
  </si>
  <si>
    <t>ODP</t>
  </si>
  <si>
    <t>Ha/ton</t>
  </si>
  <si>
    <t>m3/ton</t>
  </si>
  <si>
    <t>BCM/ton</t>
  </si>
  <si>
    <t>ton/ton</t>
  </si>
  <si>
    <t>kg/ton</t>
  </si>
  <si>
    <t>meter/ton</t>
  </si>
  <si>
    <t>kgSOx/ton</t>
  </si>
  <si>
    <t>kgNOx/ton</t>
  </si>
  <si>
    <t>kgCO2/ton</t>
  </si>
  <si>
    <t>ha/ton</t>
  </si>
  <si>
    <t>unit/ton</t>
  </si>
  <si>
    <t>Konsep Pareto Rule</t>
  </si>
  <si>
    <t>Persentase</t>
  </si>
  <si>
    <t>Sumber Bahan</t>
  </si>
  <si>
    <t>Indikator</t>
  </si>
  <si>
    <t>Produk BBM</t>
  </si>
  <si>
    <t>Utilitas</t>
  </si>
  <si>
    <t>Inventori/ Substansi</t>
  </si>
  <si>
    <t>% Kontribusi pada Total Dampak</t>
  </si>
  <si>
    <t>Kategori Potensi Dampak</t>
  </si>
  <si>
    <t>Potensi pemanasan global</t>
  </si>
  <si>
    <r>
      <t>kgCO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ek</t>
    </r>
  </si>
  <si>
    <t>Potensi penipisan ozon</t>
  </si>
  <si>
    <t>kgCFC-11ek</t>
  </si>
  <si>
    <t>Potensi hujan asam</t>
  </si>
  <si>
    <r>
      <t>kgSO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ek</t>
    </r>
  </si>
  <si>
    <t>Potensi eutrofikasi</t>
  </si>
  <si>
    <r>
      <t>kgPO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ek</t>
    </r>
  </si>
  <si>
    <t>Jenis Data</t>
  </si>
  <si>
    <t>Ketersediaan Data</t>
  </si>
  <si>
    <t>Data Spesifik/Primer</t>
  </si>
  <si>
    <t>Data Generik/Sekunder</t>
  </si>
  <si>
    <t>Ada-Lengkap</t>
  </si>
  <si>
    <t>Tidak Ada-Diestimasi</t>
  </si>
  <si>
    <t>Tidak Ada-Tidak Dicakup</t>
  </si>
  <si>
    <t>Pengukuran</t>
  </si>
  <si>
    <t>Kalkulasi/Estimasi</t>
  </si>
  <si>
    <t>Referensi</t>
  </si>
  <si>
    <t>%</t>
  </si>
  <si>
    <t>Jumah</t>
  </si>
  <si>
    <t>Uji Sensitivitas</t>
  </si>
  <si>
    <t>Baseline</t>
  </si>
  <si>
    <t>Kategori</t>
  </si>
  <si>
    <t>% Beda</t>
  </si>
  <si>
    <t>ACD</t>
  </si>
  <si>
    <t>EUTR</t>
  </si>
  <si>
    <t>Emisi CO2 - Material Removal</t>
  </si>
  <si>
    <t>Solar - Material Removal</t>
  </si>
  <si>
    <t>Emisi CO2 - Coal Crushing</t>
  </si>
  <si>
    <t>Solar - Utility Mining</t>
  </si>
  <si>
    <t>Proses Hulu</t>
  </si>
  <si>
    <t>Bahan Bakar</t>
  </si>
  <si>
    <t>Emisi</t>
  </si>
  <si>
    <t>Proses Inti</t>
  </si>
  <si>
    <t>Produk</t>
  </si>
  <si>
    <t>Limbah Non B3</t>
  </si>
  <si>
    <t>Total</t>
  </si>
  <si>
    <t>Sox - Material Removal</t>
  </si>
  <si>
    <t>Nox - Material Removal</t>
  </si>
  <si>
    <t>CO2 - Material Removal</t>
  </si>
  <si>
    <t>Data Perusahaan (2020)</t>
  </si>
  <si>
    <t>Metode Pengumpulan Data</t>
  </si>
  <si>
    <t>Pengukuran survey dengan citra satelit dan drone, dikonversi dalam software hingga mendapat luasan, batasan, dan besaran bahan baku</t>
  </si>
  <si>
    <t>Pemesan bahan bakar by Material Request sesuai nomor unit yang telah dilengkapi oleh RFID dan ditransfer pada sistem SAP logistik. Pengisian bahan bakar pada masing-masing kendaraan akan otomatis tercatat pada sistem.</t>
  </si>
  <si>
    <t>Pencatatan aktual secara manual dari perhitungan perencanaan lokasi blasting</t>
  </si>
  <si>
    <t>Pencatatan aktual secara manual dari perhitungan dosis tiap tiap lokasai WWTP yang telah diuji skala piot pada laboratorium</t>
  </si>
  <si>
    <t>Pencatatan aktual secara manual yang mengacu pada konversi volume debit yang mempertimbangkan kondisi danjenis pintu air pada inlet dan outlet WWTP</t>
  </si>
  <si>
    <t>Pencatatan manual logbook TPS yang diverifikasi oleh pengawas dan diinput pada SIMPEL</t>
  </si>
  <si>
    <t>Pencatatan manual logbook yang diverifikasi oleh pengawas</t>
  </si>
  <si>
    <t>batubara : Pencatatan manual pada fasilitas penimbangan otomatis di area CPP, diperjelas dengan proses penghitungan dari data indera pencitraan udara oleh tim survey pada lokasi penyimpanan produk</t>
  </si>
  <si>
    <t>tanaman : Penerapan yang disesuaikan dengan prosedur, dilakukan pemantauan triwulan terkait pertumbuhan, untuk jumlah merupakan penyediaan yang disesuaikan dengan perhitungan by prosedur yg berlaku</t>
  </si>
  <si>
    <t>beban pencemar : hasil perhitungan nilai debit dengan nilai kualitas air WWTP yang diukur harian dengan alat ukur manual terkalibrasi</t>
  </si>
  <si>
    <t>Proses Inti (Gate to Gate)</t>
  </si>
  <si>
    <t>Coal Conveying to Stockpile</t>
  </si>
  <si>
    <t>Biodiesel</t>
  </si>
  <si>
    <t>Aki</t>
  </si>
  <si>
    <t>sludge</t>
  </si>
  <si>
    <t>air terkontaminasi</t>
  </si>
  <si>
    <t>Accu Bekas</t>
  </si>
  <si>
    <t>Filter terkontaminasi</t>
  </si>
  <si>
    <t>Hose Terkontaminasi</t>
  </si>
  <si>
    <t>Majun Terkontaminasi</t>
  </si>
  <si>
    <t>Material Terkontaminasi</t>
  </si>
  <si>
    <t>Grease Bekas</t>
  </si>
  <si>
    <t>Genset Crusher</t>
  </si>
  <si>
    <t>Air Limbah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</si>
</sst>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0.0000000"/>
    <numFmt numFmtId="165" formatCode="0.000"/>
    <numFmt numFmtId="166" formatCode="0.0000"/>
    <numFmt numFmtId="167" formatCode="#,##0.000"/>
    <numFmt numFmtId="168" formatCode="0.000000"/>
    <numFmt numFmtId="169" formatCode="#,##0.0000"/>
    <numFmt numFmtId="170" formatCode="0.00000"/>
    <numFmt numFmtId="171" formatCode="0.0%"/>
    <numFmt numFmtId="172" formatCode="0.E+00"/>
    <numFmt numFmtId="173" formatCode="0.00.E+00"/>
    <numFmt numFmtId="174" formatCode="_-* #,##0.0000_-;\-* #,##0.0000_-;_-* &quot;-&quot;_-;_-@_-"/>
  </numFmts>
  <fonts count="26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B4C6E7"/>
        <bgColor rgb="FFB4C6E7"/>
      </patternFill>
    </fill>
    <fill>
      <patternFill patternType="solid">
        <fgColor rgb="FFA5A5A5"/>
        <bgColor rgb="FFA5A5A5"/>
      </patternFill>
    </fill>
    <fill>
      <patternFill patternType="solid">
        <fgColor rgb="FFC55A11"/>
        <bgColor rgb="FFC55A11"/>
      </patternFill>
    </fill>
    <fill>
      <patternFill patternType="solid">
        <fgColor rgb="FFBFBFBF"/>
        <bgColor rgb="FFBFBFBF"/>
      </patternFill>
    </fill>
    <fill>
      <patternFill patternType="solid">
        <fgColor rgb="FF70AD47"/>
        <bgColor rgb="FF70AD47"/>
      </patternFill>
    </fill>
    <fill>
      <patternFill patternType="solid">
        <fgColor rgb="FFF4B083"/>
        <bgColor rgb="FFF4B083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3F3F3"/>
        <bgColor rgb="FFF3F3F3"/>
      </patternFill>
    </fill>
    <fill>
      <patternFill patternType="solid">
        <fgColor rgb="FFD0E0E3"/>
        <bgColor rgb="FFD0E0E3"/>
      </patternFill>
    </fill>
    <fill>
      <patternFill patternType="solid">
        <fgColor rgb="FF93C47D"/>
        <bgColor rgb="FF93C47D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rgb="FF595959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34998626667073579"/>
        <bgColor rgb="FFB6D7A8"/>
      </patternFill>
    </fill>
    <fill>
      <patternFill patternType="solid">
        <fgColor theme="0"/>
        <bgColor rgb="FF595959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4998626667073579"/>
        <bgColor rgb="FF59595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1"/>
    <xf numFmtId="43" fontId="19" fillId="0" borderId="1" applyFont="0" applyFill="0" applyBorder="0" applyAlignment="0" applyProtection="0"/>
    <xf numFmtId="0" fontId="19" fillId="0" borderId="1"/>
    <xf numFmtId="9" fontId="19" fillId="0" borderId="1" applyFont="0" applyFill="0" applyBorder="0" applyAlignment="0" applyProtection="0"/>
    <xf numFmtId="41" fontId="25" fillId="0" borderId="0" applyFont="0" applyFill="0" applyBorder="0" applyAlignment="0" applyProtection="0"/>
  </cellStyleXfs>
  <cellXfs count="422">
    <xf numFmtId="0" fontId="0" fillId="0" borderId="0" xfId="0" applyFont="1" applyAlignment="1"/>
    <xf numFmtId="0" fontId="2" fillId="7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11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wrapText="1"/>
    </xf>
    <xf numFmtId="0" fontId="0" fillId="0" borderId="2" xfId="0" applyFont="1" applyBorder="1"/>
    <xf numFmtId="0" fontId="5" fillId="0" borderId="2" xfId="0" applyFont="1" applyBorder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10" borderId="2" xfId="0" applyFont="1" applyFill="1" applyBorder="1"/>
    <xf numFmtId="0" fontId="0" fillId="12" borderId="2" xfId="0" applyFont="1" applyFill="1" applyBorder="1" applyAlignment="1">
      <alignment vertical="center" wrapText="1"/>
    </xf>
    <xf numFmtId="0" fontId="0" fillId="12" borderId="2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0" fillId="12" borderId="2" xfId="0" applyFont="1" applyFill="1" applyBorder="1" applyAlignment="1"/>
    <xf numFmtId="0" fontId="0" fillId="12" borderId="2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12" borderId="2" xfId="0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center" vertical="center" wrapText="1"/>
    </xf>
    <xf numFmtId="165" fontId="0" fillId="9" borderId="2" xfId="0" applyNumberFormat="1" applyFont="1" applyFill="1" applyBorder="1" applyAlignment="1">
      <alignment horizontal="center" vertical="center" wrapText="1"/>
    </xf>
    <xf numFmtId="11" fontId="0" fillId="9" borderId="2" xfId="0" applyNumberFormat="1" applyFont="1" applyFill="1" applyBorder="1" applyAlignment="1">
      <alignment horizontal="center" vertical="center" wrapText="1"/>
    </xf>
    <xf numFmtId="165" fontId="0" fillId="10" borderId="2" xfId="0" applyNumberFormat="1" applyFont="1" applyFill="1" applyBorder="1" applyAlignment="1">
      <alignment horizontal="center" vertical="center" wrapText="1"/>
    </xf>
    <xf numFmtId="11" fontId="0" fillId="10" borderId="2" xfId="0" applyNumberFormat="1" applyFont="1" applyFill="1" applyBorder="1" applyAlignment="1">
      <alignment horizontal="center" vertical="center" wrapText="1"/>
    </xf>
    <xf numFmtId="165" fontId="0" fillId="9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166" fontId="0" fillId="9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 vertical="center" wrapText="1"/>
    </xf>
    <xf numFmtId="11" fontId="0" fillId="13" borderId="2" xfId="0" applyNumberFormat="1" applyFont="1" applyFill="1" applyBorder="1" applyAlignment="1">
      <alignment horizontal="center" vertical="center" wrapText="1"/>
    </xf>
    <xf numFmtId="11" fontId="5" fillId="9" borderId="2" xfId="0" applyNumberFormat="1" applyFont="1" applyFill="1" applyBorder="1" applyAlignment="1">
      <alignment horizontal="center" vertical="center" wrapText="1"/>
    </xf>
    <xf numFmtId="11" fontId="5" fillId="14" borderId="2" xfId="0" applyNumberFormat="1" applyFont="1" applyFill="1" applyBorder="1" applyAlignment="1">
      <alignment horizontal="center" vertical="center" wrapText="1"/>
    </xf>
    <xf numFmtId="11" fontId="0" fillId="9" borderId="2" xfId="0" applyNumberFormat="1" applyFont="1" applyFill="1" applyBorder="1" applyAlignment="1">
      <alignment horizontal="center" vertical="center" wrapText="1"/>
    </xf>
    <xf numFmtId="11" fontId="0" fillId="14" borderId="2" xfId="0" applyNumberFormat="1" applyFont="1" applyFill="1" applyBorder="1" applyAlignment="1">
      <alignment horizontal="center" vertical="center" wrapText="1"/>
    </xf>
    <xf numFmtId="11" fontId="0" fillId="13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/>
    </xf>
    <xf numFmtId="0" fontId="6" fillId="0" borderId="0" xfId="0" applyFont="1" applyAlignment="1"/>
    <xf numFmtId="11" fontId="6" fillId="0" borderId="0" xfId="0" applyNumberFormat="1" applyFont="1"/>
    <xf numFmtId="11" fontId="7" fillId="12" borderId="0" xfId="0" applyNumberFormat="1" applyFont="1" applyFill="1" applyAlignment="1">
      <alignment horizontal="center" vertical="center"/>
    </xf>
    <xf numFmtId="0" fontId="0" fillId="9" borderId="0" xfId="0" applyFont="1" applyFill="1" applyAlignment="1">
      <alignment horizontal="right"/>
    </xf>
    <xf numFmtId="0" fontId="0" fillId="9" borderId="0" xfId="0" applyFont="1" applyFill="1" applyAlignment="1">
      <alignment horizontal="center"/>
    </xf>
    <xf numFmtId="0" fontId="1" fillId="9" borderId="0" xfId="0" applyFont="1" applyFill="1" applyAlignment="1"/>
    <xf numFmtId="0" fontId="6" fillId="9" borderId="0" xfId="0" applyFont="1" applyFill="1"/>
    <xf numFmtId="168" fontId="0" fillId="13" borderId="2" xfId="0" applyNumberFormat="1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 wrapText="1"/>
    </xf>
    <xf numFmtId="165" fontId="0" fillId="1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7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10" fillId="11" borderId="2" xfId="0" applyFont="1" applyFill="1" applyBorder="1"/>
    <xf numFmtId="0" fontId="10" fillId="0" borderId="2" xfId="0" applyFont="1" applyBorder="1"/>
    <xf numFmtId="0" fontId="10" fillId="9" borderId="2" xfId="0" applyFont="1" applyFill="1" applyBorder="1"/>
    <xf numFmtId="4" fontId="10" fillId="9" borderId="2" xfId="0" applyNumberFormat="1" applyFont="1" applyFill="1" applyBorder="1" applyAlignment="1">
      <alignment horizontal="center"/>
    </xf>
    <xf numFmtId="3" fontId="10" fillId="9" borderId="2" xfId="0" applyNumberFormat="1" applyFont="1" applyFill="1" applyBorder="1" applyAlignment="1">
      <alignment horizontal="center"/>
    </xf>
    <xf numFmtId="43" fontId="10" fillId="9" borderId="2" xfId="0" applyNumberFormat="1" applyFont="1" applyFill="1" applyBorder="1" applyAlignment="1">
      <alignment horizontal="center"/>
    </xf>
    <xf numFmtId="0" fontId="10" fillId="11" borderId="3" xfId="0" applyFont="1" applyFill="1" applyBorder="1"/>
    <xf numFmtId="0" fontId="10" fillId="11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 applyAlignment="1"/>
    <xf numFmtId="166" fontId="10" fillId="9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right"/>
    </xf>
    <xf numFmtId="0" fontId="10" fillId="11" borderId="4" xfId="0" applyFont="1" applyFill="1" applyBorder="1"/>
    <xf numFmtId="2" fontId="10" fillId="11" borderId="3" xfId="0" applyNumberFormat="1" applyFont="1" applyFill="1" applyBorder="1"/>
    <xf numFmtId="0" fontId="10" fillId="11" borderId="6" xfId="0" applyFont="1" applyFill="1" applyBorder="1"/>
    <xf numFmtId="166" fontId="10" fillId="11" borderId="2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/>
    </xf>
    <xf numFmtId="0" fontId="10" fillId="9" borderId="21" xfId="0" applyFont="1" applyFill="1" applyBorder="1"/>
    <xf numFmtId="2" fontId="10" fillId="9" borderId="2" xfId="0" applyNumberFormat="1" applyFont="1" applyFill="1" applyBorder="1" applyAlignment="1">
      <alignment horizontal="center"/>
    </xf>
    <xf numFmtId="0" fontId="10" fillId="11" borderId="8" xfId="0" applyFont="1" applyFill="1" applyBorder="1"/>
    <xf numFmtId="0" fontId="10" fillId="0" borderId="3" xfId="0" applyFont="1" applyBorder="1"/>
    <xf numFmtId="0" fontId="10" fillId="11" borderId="3" xfId="0" applyFont="1" applyFill="1" applyBorder="1" applyAlignment="1">
      <alignment horizontal="center"/>
    </xf>
    <xf numFmtId="166" fontId="10" fillId="11" borderId="3" xfId="0" applyNumberFormat="1" applyFont="1" applyFill="1" applyBorder="1" applyAlignment="1">
      <alignment horizontal="center"/>
    </xf>
    <xf numFmtId="0" fontId="10" fillId="9" borderId="23" xfId="0" applyFont="1" applyFill="1" applyBorder="1"/>
    <xf numFmtId="1" fontId="10" fillId="9" borderId="2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2" xfId="0" applyFont="1" applyBorder="1" applyAlignment="1"/>
    <xf numFmtId="0" fontId="10" fillId="15" borderId="2" xfId="0" applyFont="1" applyFill="1" applyBorder="1" applyAlignment="1">
      <alignment horizontal="center"/>
    </xf>
    <xf numFmtId="166" fontId="10" fillId="15" borderId="2" xfId="0" applyNumberFormat="1" applyFont="1" applyFill="1" applyBorder="1" applyAlignment="1">
      <alignment horizontal="center"/>
    </xf>
    <xf numFmtId="3" fontId="10" fillId="11" borderId="2" xfId="0" applyNumberFormat="1" applyFont="1" applyFill="1" applyBorder="1"/>
    <xf numFmtId="4" fontId="10" fillId="9" borderId="2" xfId="0" applyNumberFormat="1" applyFont="1" applyFill="1" applyBorder="1"/>
    <xf numFmtId="0" fontId="10" fillId="0" borderId="0" xfId="0" applyFont="1"/>
    <xf numFmtId="0" fontId="10" fillId="0" borderId="0" xfId="0" applyFont="1"/>
    <xf numFmtId="11" fontId="10" fillId="9" borderId="2" xfId="0" applyNumberFormat="1" applyFont="1" applyFill="1" applyBorder="1" applyAlignment="1">
      <alignment horizontal="center"/>
    </xf>
    <xf numFmtId="11" fontId="10" fillId="11" borderId="3" xfId="0" applyNumberFormat="1" applyFont="1" applyFill="1" applyBorder="1"/>
    <xf numFmtId="11" fontId="10" fillId="11" borderId="2" xfId="0" applyNumberFormat="1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11" fontId="10" fillId="11" borderId="3" xfId="0" applyNumberFormat="1" applyFont="1" applyFill="1" applyBorder="1" applyAlignment="1">
      <alignment horizontal="center"/>
    </xf>
    <xf numFmtId="11" fontId="10" fillId="0" borderId="2" xfId="0" applyNumberFormat="1" applyFont="1" applyBorder="1" applyAlignment="1">
      <alignment horizontal="center"/>
    </xf>
    <xf numFmtId="11" fontId="10" fillId="15" borderId="2" xfId="0" applyNumberFormat="1" applyFont="1" applyFill="1" applyBorder="1" applyAlignment="1">
      <alignment horizontal="center"/>
    </xf>
    <xf numFmtId="11" fontId="10" fillId="9" borderId="2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0" fontId="0" fillId="9" borderId="0" xfId="0" applyFont="1" applyFill="1" applyAlignment="1"/>
    <xf numFmtId="0" fontId="8" fillId="2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11" fontId="11" fillId="9" borderId="2" xfId="0" applyNumberFormat="1" applyFont="1" applyFill="1" applyBorder="1" applyAlignment="1">
      <alignment horizontal="center" vertical="center" wrapText="1"/>
    </xf>
    <xf numFmtId="11" fontId="10" fillId="9" borderId="2" xfId="0" applyNumberFormat="1" applyFont="1" applyFill="1" applyBorder="1" applyAlignment="1">
      <alignment horizontal="center" vertical="center" wrapText="1"/>
    </xf>
    <xf numFmtId="11" fontId="10" fillId="9" borderId="4" xfId="0" applyNumberFormat="1" applyFont="1" applyFill="1" applyBorder="1" applyAlignment="1">
      <alignment horizontal="center"/>
    </xf>
    <xf numFmtId="11" fontId="10" fillId="9" borderId="6" xfId="0" applyNumberFormat="1" applyFont="1" applyFill="1" applyBorder="1" applyAlignment="1">
      <alignment horizontal="center"/>
    </xf>
    <xf numFmtId="11" fontId="10" fillId="9" borderId="6" xfId="0" applyNumberFormat="1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4" fontId="10" fillId="9" borderId="2" xfId="0" applyNumberFormat="1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0" fillId="0" borderId="0" xfId="0" applyFont="1" applyAlignment="1"/>
    <xf numFmtId="11" fontId="10" fillId="0" borderId="0" xfId="0" applyNumberFormat="1" applyFont="1"/>
    <xf numFmtId="11" fontId="12" fillId="12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applyFont="1" applyFill="1" applyAlignment="1"/>
    <xf numFmtId="0" fontId="10" fillId="9" borderId="0" xfId="0" applyFont="1" applyFill="1" applyAlignment="1"/>
    <xf numFmtId="0" fontId="10" fillId="9" borderId="0" xfId="0" applyFont="1" applyFill="1" applyAlignment="1">
      <alignment horizontal="center"/>
    </xf>
    <xf numFmtId="0" fontId="10" fillId="9" borderId="0" xfId="0" applyFont="1" applyFill="1"/>
    <xf numFmtId="0" fontId="10" fillId="9" borderId="0" xfId="0" applyFont="1" applyFill="1" applyAlignment="1">
      <alignment horizontal="right"/>
    </xf>
    <xf numFmtId="4" fontId="11" fillId="9" borderId="2" xfId="0" applyNumberFormat="1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10" fillId="9" borderId="6" xfId="0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wrapText="1"/>
    </xf>
    <xf numFmtId="11" fontId="4" fillId="16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11" fontId="0" fillId="0" borderId="2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11" fontId="14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5" fillId="0" borderId="2" xfId="0" applyFont="1" applyBorder="1"/>
    <xf numFmtId="16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11" fontId="1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1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/>
    <xf numFmtId="0" fontId="5" fillId="0" borderId="2" xfId="0" applyFont="1" applyBorder="1" applyAlignment="1">
      <alignment horizontal="left"/>
    </xf>
    <xf numFmtId="11" fontId="0" fillId="0" borderId="2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11" fontId="15" fillId="0" borderId="2" xfId="0" applyNumberFormat="1" applyFont="1" applyBorder="1" applyAlignment="1">
      <alignment horizontal="center"/>
    </xf>
    <xf numFmtId="11" fontId="15" fillId="0" borderId="2" xfId="0" applyNumberFormat="1" applyFont="1" applyBorder="1" applyAlignment="1"/>
    <xf numFmtId="0" fontId="1" fillId="0" borderId="2" xfId="0" applyFont="1" applyBorder="1" applyAlignment="1"/>
    <xf numFmtId="4" fontId="0" fillId="0" borderId="2" xfId="0" applyNumberFormat="1" applyFont="1" applyBorder="1" applyAlignment="1">
      <alignment horizontal="center"/>
    </xf>
    <xf numFmtId="167" fontId="0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4" fillId="0" borderId="2" xfId="0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Alignment="1"/>
    <xf numFmtId="0" fontId="16" fillId="0" borderId="2" xfId="0" applyFont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165" fontId="10" fillId="9" borderId="2" xfId="0" applyNumberFormat="1" applyFont="1" applyFill="1" applyBorder="1" applyAlignment="1">
      <alignment horizontal="center"/>
    </xf>
    <xf numFmtId="170" fontId="10" fillId="9" borderId="2" xfId="0" applyNumberFormat="1" applyFont="1" applyFill="1" applyBorder="1" applyAlignment="1">
      <alignment horizontal="center"/>
    </xf>
    <xf numFmtId="0" fontId="16" fillId="18" borderId="24" xfId="0" applyFont="1" applyFill="1" applyBorder="1" applyAlignment="1">
      <alignment horizontal="center" vertical="center"/>
    </xf>
    <xf numFmtId="0" fontId="0" fillId="0" borderId="24" xfId="0" applyFont="1" applyBorder="1" applyAlignment="1"/>
    <xf numFmtId="0" fontId="16" fillId="18" borderId="24" xfId="0" applyFont="1" applyFill="1" applyBorder="1" applyAlignment="1">
      <alignment horizontal="left" vertical="center"/>
    </xf>
    <xf numFmtId="11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9" fontId="0" fillId="0" borderId="24" xfId="0" applyNumberFormat="1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1" fontId="0" fillId="19" borderId="24" xfId="0" applyNumberFormat="1" applyFont="1" applyFill="1" applyBorder="1" applyAlignment="1">
      <alignment horizontal="center"/>
    </xf>
    <xf numFmtId="9" fontId="0" fillId="19" borderId="24" xfId="0" applyNumberFormat="1" applyFont="1" applyFill="1" applyBorder="1" applyAlignment="1">
      <alignment horizontal="center" vertical="center"/>
    </xf>
    <xf numFmtId="0" fontId="0" fillId="19" borderId="24" xfId="0" applyFont="1" applyFill="1" applyBorder="1" applyAlignment="1">
      <alignment horizontal="left"/>
    </xf>
    <xf numFmtId="11" fontId="0" fillId="0" borderId="0" xfId="0" applyNumberFormat="1" applyFont="1" applyAlignment="1">
      <alignment horizontal="center"/>
    </xf>
    <xf numFmtId="171" fontId="0" fillId="0" borderId="24" xfId="0" applyNumberFormat="1" applyFont="1" applyBorder="1" applyAlignment="1">
      <alignment horizontal="center" vertical="center"/>
    </xf>
    <xf numFmtId="171" fontId="0" fillId="19" borderId="24" xfId="0" applyNumberFormat="1" applyFont="1" applyFill="1" applyBorder="1" applyAlignment="1">
      <alignment horizontal="center" vertical="center"/>
    </xf>
    <xf numFmtId="0" fontId="0" fillId="20" borderId="24" xfId="0" applyFont="1" applyFill="1" applyBorder="1" applyAlignment="1">
      <alignment horizontal="left" vertical="center"/>
    </xf>
    <xf numFmtId="0" fontId="0" fillId="20" borderId="24" xfId="0" applyFont="1" applyFill="1" applyBorder="1" applyAlignment="1">
      <alignment horizontal="center" vertical="center"/>
    </xf>
    <xf numFmtId="9" fontId="0" fillId="20" borderId="24" xfId="0" applyNumberFormat="1" applyFont="1" applyFill="1" applyBorder="1" applyAlignment="1">
      <alignment horizontal="center" vertical="center"/>
    </xf>
    <xf numFmtId="9" fontId="0" fillId="0" borderId="24" xfId="0" applyNumberFormat="1" applyFont="1" applyBorder="1" applyAlignment="1">
      <alignment vertical="center"/>
    </xf>
    <xf numFmtId="11" fontId="10" fillId="0" borderId="24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1" fontId="16" fillId="0" borderId="0" xfId="0" applyNumberFormat="1" applyFont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0" fontId="10" fillId="0" borderId="24" xfId="0" applyFont="1" applyBorder="1" applyAlignment="1">
      <alignment horizontal="left"/>
    </xf>
    <xf numFmtId="11" fontId="10" fillId="19" borderId="24" xfId="0" applyNumberFormat="1" applyFont="1" applyFill="1" applyBorder="1" applyAlignment="1">
      <alignment horizontal="center" vertical="center"/>
    </xf>
    <xf numFmtId="9" fontId="10" fillId="19" borderId="24" xfId="0" applyNumberFormat="1" applyFont="1" applyFill="1" applyBorder="1" applyAlignment="1">
      <alignment horizontal="center" vertical="center"/>
    </xf>
    <xf numFmtId="11" fontId="10" fillId="0" borderId="24" xfId="0" applyNumberFormat="1" applyFont="1" applyFill="1" applyBorder="1" applyAlignment="1">
      <alignment horizontal="center" vertical="center"/>
    </xf>
    <xf numFmtId="9" fontId="10" fillId="0" borderId="24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/>
    </xf>
    <xf numFmtId="0" fontId="20" fillId="21" borderId="24" xfId="0" applyFont="1" applyFill="1" applyBorder="1" applyAlignment="1">
      <alignment horizontal="center" vertical="center" wrapText="1"/>
    </xf>
    <xf numFmtId="172" fontId="10" fillId="9" borderId="2" xfId="0" applyNumberFormat="1" applyFont="1" applyFill="1" applyBorder="1" applyAlignment="1">
      <alignment horizontal="center"/>
    </xf>
    <xf numFmtId="172" fontId="10" fillId="9" borderId="23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vertical="center"/>
    </xf>
    <xf numFmtId="0" fontId="0" fillId="20" borderId="24" xfId="0" applyFont="1" applyFill="1" applyBorder="1" applyAlignment="1">
      <alignment vertical="center"/>
    </xf>
    <xf numFmtId="0" fontId="19" fillId="0" borderId="1" xfId="1"/>
    <xf numFmtId="0" fontId="20" fillId="27" borderId="24" xfId="0" applyFont="1" applyFill="1" applyBorder="1" applyAlignment="1">
      <alignment horizontal="center" vertical="center"/>
    </xf>
    <xf numFmtId="9" fontId="20" fillId="27" borderId="24" xfId="0" applyNumberFormat="1" applyFont="1" applyFill="1" applyBorder="1" applyAlignment="1">
      <alignment horizontal="center" vertical="center"/>
    </xf>
    <xf numFmtId="0" fontId="20" fillId="27" borderId="24" xfId="0" applyFont="1" applyFill="1" applyBorder="1" applyAlignment="1">
      <alignment vertical="center"/>
    </xf>
    <xf numFmtId="2" fontId="0" fillId="0" borderId="24" xfId="0" applyNumberFormat="1" applyFont="1" applyBorder="1" applyAlignment="1"/>
    <xf numFmtId="0" fontId="0" fillId="22" borderId="0" xfId="0" applyFont="1" applyFill="1" applyAlignment="1">
      <alignment horizontal="center" vertical="center"/>
    </xf>
    <xf numFmtId="0" fontId="18" fillId="27" borderId="24" xfId="0" applyFont="1" applyFill="1" applyBorder="1"/>
    <xf numFmtId="0" fontId="18" fillId="27" borderId="24" xfId="0" applyFont="1" applyFill="1" applyBorder="1" applyAlignment="1">
      <alignment horizontal="center" vertical="center"/>
    </xf>
    <xf numFmtId="9" fontId="18" fillId="27" borderId="24" xfId="0" applyNumberFormat="1" applyFont="1" applyFill="1" applyBorder="1" applyAlignment="1">
      <alignment horizontal="center" vertical="center"/>
    </xf>
    <xf numFmtId="0" fontId="18" fillId="0" borderId="24" xfId="0" applyFont="1" applyBorder="1"/>
    <xf numFmtId="173" fontId="0" fillId="0" borderId="24" xfId="0" applyNumberFormat="1" applyBorder="1"/>
    <xf numFmtId="0" fontId="0" fillId="0" borderId="24" xfId="0" applyBorder="1"/>
    <xf numFmtId="2" fontId="0" fillId="0" borderId="24" xfId="0" applyNumberFormat="1" applyBorder="1"/>
    <xf numFmtId="0" fontId="0" fillId="0" borderId="0" xfId="0" applyFont="1" applyAlignment="1"/>
    <xf numFmtId="0" fontId="10" fillId="19" borderId="24" xfId="0" applyFont="1" applyFill="1" applyBorder="1" applyAlignment="1">
      <alignment horizontal="left"/>
    </xf>
    <xf numFmtId="0" fontId="19" fillId="0" borderId="0" xfId="0" applyFont="1" applyAlignment="1"/>
    <xf numFmtId="0" fontId="19" fillId="0" borderId="24" xfId="0" applyFont="1" applyBorder="1" applyAlignment="1"/>
    <xf numFmtId="9" fontId="0" fillId="0" borderId="24" xfId="0" applyNumberFormat="1" applyFont="1" applyBorder="1" applyAlignment="1">
      <alignment horizontal="center"/>
    </xf>
    <xf numFmtId="2" fontId="0" fillId="9" borderId="2" xfId="0" applyNumberFormat="1" applyFont="1" applyFill="1" applyBorder="1" applyAlignment="1">
      <alignment horizontal="center" vertical="center" wrapText="1"/>
    </xf>
    <xf numFmtId="2" fontId="0" fillId="10" borderId="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/>
    <xf numFmtId="9" fontId="4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1" xfId="3" applyFont="1"/>
    <xf numFmtId="0" fontId="0" fillId="0" borderId="1" xfId="3" applyFont="1" applyAlignment="1">
      <alignment vertical="center"/>
    </xf>
    <xf numFmtId="0" fontId="4" fillId="0" borderId="24" xfId="3" applyFont="1" applyBorder="1" applyAlignment="1">
      <alignment vertical="top" wrapText="1"/>
    </xf>
    <xf numFmtId="0" fontId="19" fillId="0" borderId="24" xfId="3" applyFont="1" applyBorder="1" applyAlignment="1">
      <alignment wrapText="1"/>
    </xf>
    <xf numFmtId="0" fontId="19" fillId="0" borderId="24" xfId="3" applyFont="1" applyBorder="1" applyAlignment="1">
      <alignment vertical="top" wrapText="1"/>
    </xf>
    <xf numFmtId="0" fontId="19" fillId="0" borderId="24" xfId="1" applyFont="1" applyBorder="1" applyAlignment="1">
      <alignment wrapText="1"/>
    </xf>
    <xf numFmtId="9" fontId="19" fillId="0" borderId="24" xfId="1" applyNumberFormat="1" applyFont="1" applyBorder="1" applyAlignment="1">
      <alignment wrapText="1"/>
    </xf>
    <xf numFmtId="0" fontId="19" fillId="0" borderId="24" xfId="3" applyFont="1" applyBorder="1" applyAlignment="1">
      <alignment vertical="center" wrapText="1"/>
    </xf>
    <xf numFmtId="0" fontId="22" fillId="25" borderId="2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/>
    <xf numFmtId="0" fontId="0" fillId="0" borderId="23" xfId="0" applyFont="1" applyBorder="1" applyAlignment="1">
      <alignment wrapText="1"/>
    </xf>
    <xf numFmtId="0" fontId="0" fillId="10" borderId="23" xfId="0" applyFont="1" applyFill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10" borderId="24" xfId="0" applyFont="1" applyFill="1" applyBorder="1" applyAlignment="1">
      <alignment wrapText="1"/>
    </xf>
    <xf numFmtId="0" fontId="0" fillId="29" borderId="24" xfId="0" applyFill="1" applyBorder="1" applyAlignment="1">
      <alignment horizontal="center" vertical="center"/>
    </xf>
    <xf numFmtId="41" fontId="0" fillId="29" borderId="24" xfId="5" applyFont="1" applyFill="1" applyBorder="1" applyAlignment="1">
      <alignment horizontal="center" vertical="center"/>
    </xf>
    <xf numFmtId="174" fontId="0" fillId="29" borderId="24" xfId="5" applyNumberFormat="1" applyFont="1" applyFill="1" applyBorder="1" applyAlignment="1">
      <alignment horizontal="center" vertical="center"/>
    </xf>
    <xf numFmtId="0" fontId="0" fillId="30" borderId="24" xfId="0" applyFill="1" applyBorder="1" applyAlignment="1">
      <alignment horizontal="center" vertical="center"/>
    </xf>
    <xf numFmtId="174" fontId="0" fillId="30" borderId="24" xfId="5" applyNumberFormat="1" applyFont="1" applyFill="1" applyBorder="1" applyAlignment="1">
      <alignment horizontal="center" vertical="center"/>
    </xf>
    <xf numFmtId="174" fontId="0" fillId="30" borderId="24" xfId="0" applyNumberFormat="1" applyFill="1" applyBorder="1" applyAlignment="1">
      <alignment horizontal="center" vertical="center"/>
    </xf>
    <xf numFmtId="41" fontId="0" fillId="30" borderId="24" xfId="5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wrapText="1"/>
    </xf>
    <xf numFmtId="0" fontId="0" fillId="30" borderId="24" xfId="0" applyFont="1" applyFill="1" applyBorder="1" applyAlignment="1"/>
    <xf numFmtId="0" fontId="0" fillId="0" borderId="24" xfId="0" applyFill="1" applyBorder="1" applyAlignment="1">
      <alignment vertical="center"/>
    </xf>
    <xf numFmtId="0" fontId="0" fillId="9" borderId="2" xfId="0" applyFont="1" applyFill="1" applyBorder="1" applyAlignment="1">
      <alignment horizontal="left" vertical="center" wrapText="1"/>
    </xf>
    <xf numFmtId="0" fontId="0" fillId="29" borderId="24" xfId="0" applyFill="1" applyBorder="1" applyAlignment="1">
      <alignment horizontal="left" vertical="center"/>
    </xf>
    <xf numFmtId="11" fontId="0" fillId="29" borderId="24" xfId="5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4" xfId="0" applyFont="1" applyFill="1" applyBorder="1" applyAlignment="1">
      <alignment wrapText="1"/>
    </xf>
    <xf numFmtId="0" fontId="0" fillId="0" borderId="24" xfId="0" applyFont="1" applyFill="1" applyBorder="1" applyAlignment="1">
      <alignment horizontal="center" vertical="center" wrapText="1"/>
    </xf>
    <xf numFmtId="11" fontId="0" fillId="0" borderId="24" xfId="0" applyNumberFormat="1" applyFont="1" applyFill="1" applyBorder="1" applyAlignment="1">
      <alignment horizontal="center" vertical="center" wrapText="1"/>
    </xf>
    <xf numFmtId="11" fontId="0" fillId="0" borderId="24" xfId="0" applyNumberFormat="1" applyFont="1" applyFill="1" applyBorder="1" applyAlignment="1">
      <alignment wrapText="1"/>
    </xf>
    <xf numFmtId="11" fontId="0" fillId="0" borderId="24" xfId="0" applyNumberFormat="1" applyFill="1" applyBorder="1"/>
    <xf numFmtId="0" fontId="0" fillId="31" borderId="24" xfId="0" applyFont="1" applyFill="1" applyBorder="1" applyAlignment="1">
      <alignment wrapText="1"/>
    </xf>
    <xf numFmtId="0" fontId="0" fillId="32" borderId="2" xfId="0" applyFont="1" applyFill="1" applyBorder="1" applyAlignment="1">
      <alignment horizontal="center" vertical="center" wrapText="1"/>
    </xf>
    <xf numFmtId="0" fontId="0" fillId="33" borderId="2" xfId="0" applyFont="1" applyFill="1" applyBorder="1" applyAlignment="1">
      <alignment horizontal="center" vertical="center" wrapText="1"/>
    </xf>
    <xf numFmtId="0" fontId="0" fillId="30" borderId="2" xfId="0" applyFont="1" applyFill="1" applyBorder="1" applyAlignment="1">
      <alignment horizontal="center" vertical="center" wrapText="1"/>
    </xf>
    <xf numFmtId="4" fontId="0" fillId="34" borderId="24" xfId="0" applyNumberFormat="1" applyFont="1" applyFill="1" applyBorder="1" applyAlignment="1">
      <alignment horizontal="center" wrapText="1"/>
    </xf>
    <xf numFmtId="11" fontId="0" fillId="9" borderId="24" xfId="0" applyNumberFormat="1" applyFont="1" applyFill="1" applyBorder="1" applyAlignment="1">
      <alignment horizontal="center" vertical="center" wrapText="1"/>
    </xf>
    <xf numFmtId="11" fontId="0" fillId="35" borderId="24" xfId="0" applyNumberFormat="1" applyFont="1" applyFill="1" applyBorder="1" applyAlignment="1">
      <alignment horizontal="center" vertical="center" wrapText="1"/>
    </xf>
    <xf numFmtId="11" fontId="0" fillId="36" borderId="24" xfId="0" applyNumberFormat="1" applyFill="1" applyBorder="1"/>
    <xf numFmtId="0" fontId="0" fillId="37" borderId="2" xfId="0" applyFont="1" applyFill="1" applyBorder="1" applyAlignment="1">
      <alignment wrapText="1"/>
    </xf>
    <xf numFmtId="0" fontId="0" fillId="0" borderId="0" xfId="0" applyFont="1" applyAlignment="1"/>
    <xf numFmtId="11" fontId="0" fillId="0" borderId="0" xfId="0" applyNumberFormat="1" applyFont="1" applyAlignment="1"/>
    <xf numFmtId="173" fontId="12" fillId="12" borderId="0" xfId="0" applyNumberFormat="1" applyFont="1" applyFill="1" applyAlignment="1">
      <alignment horizontal="center"/>
    </xf>
    <xf numFmtId="0" fontId="0" fillId="20" borderId="25" xfId="0" applyFont="1" applyFill="1" applyBorder="1" applyAlignment="1">
      <alignment horizontal="left" vertical="center"/>
    </xf>
    <xf numFmtId="9" fontId="0" fillId="20" borderId="25" xfId="0" applyNumberFormat="1" applyFont="1" applyFill="1" applyBorder="1" applyAlignment="1">
      <alignment horizontal="center" vertical="center"/>
    </xf>
    <xf numFmtId="0" fontId="20" fillId="23" borderId="24" xfId="0" applyFont="1" applyFill="1" applyBorder="1" applyAlignment="1">
      <alignment horizontal="center" vertical="center"/>
    </xf>
    <xf numFmtId="0" fontId="23" fillId="0" borderId="24" xfId="0" applyFont="1" applyBorder="1"/>
    <xf numFmtId="0" fontId="24" fillId="28" borderId="24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2" fillId="26" borderId="25" xfId="0" applyFont="1" applyFill="1" applyBorder="1" applyAlignment="1">
      <alignment horizontal="center" vertical="center"/>
    </xf>
    <xf numFmtId="0" fontId="22" fillId="26" borderId="26" xfId="0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/>
    </xf>
    <xf numFmtId="0" fontId="20" fillId="23" borderId="27" xfId="0" applyFont="1" applyFill="1" applyBorder="1" applyAlignment="1">
      <alignment horizontal="center" vertical="center"/>
    </xf>
    <xf numFmtId="0" fontId="20" fillId="23" borderId="26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30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center" vertical="center"/>
    </xf>
    <xf numFmtId="0" fontId="22" fillId="25" borderId="30" xfId="0" applyFont="1" applyFill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0" fontId="22" fillId="26" borderId="30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20" borderId="24" xfId="0" applyFont="1" applyFill="1" applyBorder="1" applyAlignment="1">
      <alignment horizontal="center" vertical="center" wrapText="1"/>
    </xf>
    <xf numFmtId="0" fontId="19" fillId="20" borderId="24" xfId="0" applyFont="1" applyFill="1" applyBorder="1" applyAlignment="1">
      <alignment horizontal="left" vertical="center" wrapText="1"/>
    </xf>
    <xf numFmtId="0" fontId="19" fillId="20" borderId="25" xfId="0" applyFont="1" applyFill="1" applyBorder="1" applyAlignment="1">
      <alignment horizontal="center" vertical="center" wrapText="1"/>
    </xf>
    <xf numFmtId="0" fontId="19" fillId="20" borderId="27" xfId="0" applyFont="1" applyFill="1" applyBorder="1" applyAlignment="1">
      <alignment horizontal="center" vertical="center" wrapText="1"/>
    </xf>
    <xf numFmtId="0" fontId="19" fillId="20" borderId="26" xfId="0" applyFont="1" applyFill="1" applyBorder="1" applyAlignment="1">
      <alignment horizontal="center" vertical="center" wrapText="1"/>
    </xf>
    <xf numFmtId="0" fontId="19" fillId="20" borderId="25" xfId="0" applyFont="1" applyFill="1" applyBorder="1" applyAlignment="1">
      <alignment horizontal="left" vertical="center" wrapText="1"/>
    </xf>
    <xf numFmtId="0" fontId="19" fillId="20" borderId="27" xfId="0" applyFont="1" applyFill="1" applyBorder="1" applyAlignment="1">
      <alignment horizontal="left" vertical="center" wrapText="1"/>
    </xf>
    <xf numFmtId="0" fontId="19" fillId="20" borderId="26" xfId="0" applyFont="1" applyFill="1" applyBorder="1" applyAlignment="1">
      <alignment horizontal="left" vertical="center" wrapText="1"/>
    </xf>
    <xf numFmtId="0" fontId="20" fillId="21" borderId="24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0" xfId="0" applyFont="1" applyBorder="1"/>
    <xf numFmtId="0" fontId="0" fillId="0" borderId="3" xfId="0" applyFont="1" applyBorder="1" applyAlignment="1">
      <alignment horizontal="left" vertical="center" wrapText="1"/>
    </xf>
    <xf numFmtId="0" fontId="6" fillId="0" borderId="15" xfId="0" applyFont="1" applyBorder="1"/>
    <xf numFmtId="0" fontId="3" fillId="0" borderId="15" xfId="0" applyFont="1" applyBorder="1"/>
    <xf numFmtId="0" fontId="3" fillId="0" borderId="16" xfId="0" applyFont="1" applyBorder="1"/>
    <xf numFmtId="0" fontId="2" fillId="8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7" borderId="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9" borderId="0" xfId="0" applyFont="1" applyFill="1"/>
    <xf numFmtId="0" fontId="16" fillId="17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3" fillId="0" borderId="18" xfId="0" applyFont="1" applyBorder="1"/>
    <xf numFmtId="0" fontId="3" fillId="0" borderId="19" xfId="0" applyFont="1" applyBorder="1"/>
    <xf numFmtId="0" fontId="8" fillId="3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0" fillId="20" borderId="2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/>
    </xf>
    <xf numFmtId="9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 applyAlignment="1"/>
  </cellXfs>
  <cellStyles count="6">
    <cellStyle name="Comma [0]" xfId="5" builtinId="6"/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outlinePr summaryBelow="0" summaryRight="0"/>
  </sheetPr>
  <dimension ref="A1:B23"/>
  <sheetViews>
    <sheetView zoomScale="64" zoomScaleNormal="13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ColWidth="12.58203125" defaultRowHeight="15" customHeight="1" x14ac:dyDescent="0.3"/>
  <cols>
    <col min="1" max="1" width="24.5" style="255" customWidth="1"/>
    <col min="2" max="2" width="31.08203125" style="232" customWidth="1"/>
    <col min="3" max="16384" width="12.58203125" style="255"/>
  </cols>
  <sheetData>
    <row r="1" spans="1:2" ht="15" customHeight="1" x14ac:dyDescent="0.3">
      <c r="A1" s="307" t="s">
        <v>227</v>
      </c>
      <c r="B1" s="309" t="s">
        <v>260</v>
      </c>
    </row>
    <row r="2" spans="1:2" ht="15" customHeight="1" x14ac:dyDescent="0.3">
      <c r="A2" s="308"/>
      <c r="B2" s="309"/>
    </row>
    <row r="3" spans="1:2" ht="15" customHeight="1" x14ac:dyDescent="0.3">
      <c r="A3" s="308"/>
      <c r="B3" s="309"/>
    </row>
    <row r="4" spans="1:2" ht="15" customHeight="1" x14ac:dyDescent="0.3">
      <c r="A4" s="257" t="s">
        <v>249</v>
      </c>
      <c r="B4" s="258"/>
    </row>
    <row r="5" spans="1:2" ht="56" x14ac:dyDescent="0.3">
      <c r="A5" s="259" t="s">
        <v>6</v>
      </c>
      <c r="B5" s="260" t="s">
        <v>261</v>
      </c>
    </row>
    <row r="6" spans="1:2" ht="98" x14ac:dyDescent="0.3">
      <c r="A6" s="259" t="s">
        <v>250</v>
      </c>
      <c r="B6" s="260" t="s">
        <v>262</v>
      </c>
    </row>
    <row r="7" spans="1:2" ht="42" x14ac:dyDescent="0.3">
      <c r="A7" s="259" t="s">
        <v>105</v>
      </c>
      <c r="B7" s="261" t="s">
        <v>263</v>
      </c>
    </row>
    <row r="8" spans="1:2" ht="15" customHeight="1" x14ac:dyDescent="0.3">
      <c r="A8" s="259" t="s">
        <v>251</v>
      </c>
      <c r="B8" s="260"/>
    </row>
    <row r="9" spans="1:2" ht="15" customHeight="1" x14ac:dyDescent="0.3">
      <c r="A9" s="257" t="s">
        <v>252</v>
      </c>
      <c r="B9" s="258"/>
    </row>
    <row r="10" spans="1:2" ht="56" x14ac:dyDescent="0.3">
      <c r="A10" s="259" t="s">
        <v>6</v>
      </c>
      <c r="B10" s="260" t="s">
        <v>261</v>
      </c>
    </row>
    <row r="11" spans="1:2" ht="98" x14ac:dyDescent="0.3">
      <c r="A11" s="259" t="s">
        <v>250</v>
      </c>
      <c r="B11" s="260" t="s">
        <v>262</v>
      </c>
    </row>
    <row r="12" spans="1:2" ht="84" x14ac:dyDescent="0.3">
      <c r="A12" s="259" t="s">
        <v>253</v>
      </c>
      <c r="B12" s="260" t="s">
        <v>268</v>
      </c>
    </row>
    <row r="13" spans="1:2" ht="15" customHeight="1" x14ac:dyDescent="0.3">
      <c r="A13" s="259" t="s">
        <v>251</v>
      </c>
      <c r="B13" s="260"/>
    </row>
    <row r="14" spans="1:2" ht="15" customHeight="1" x14ac:dyDescent="0.3">
      <c r="A14" s="257" t="s">
        <v>215</v>
      </c>
      <c r="B14" s="260"/>
    </row>
    <row r="15" spans="1:2" s="256" customFormat="1" ht="56" x14ac:dyDescent="0.3">
      <c r="A15" s="262" t="s">
        <v>6</v>
      </c>
      <c r="B15" s="260" t="s">
        <v>261</v>
      </c>
    </row>
    <row r="16" spans="1:2" ht="98" x14ac:dyDescent="0.3">
      <c r="A16" s="259" t="s">
        <v>250</v>
      </c>
      <c r="B16" s="260" t="s">
        <v>262</v>
      </c>
    </row>
    <row r="17" spans="1:2" ht="56" x14ac:dyDescent="0.3">
      <c r="A17" s="259" t="s">
        <v>105</v>
      </c>
      <c r="B17" s="261" t="s">
        <v>264</v>
      </c>
    </row>
    <row r="18" spans="1:2" ht="70" x14ac:dyDescent="0.3">
      <c r="A18" s="259" t="s">
        <v>11</v>
      </c>
      <c r="B18" s="260" t="s">
        <v>265</v>
      </c>
    </row>
    <row r="19" spans="1:2" ht="84" x14ac:dyDescent="0.3">
      <c r="A19" s="259" t="s">
        <v>253</v>
      </c>
      <c r="B19" s="258" t="s">
        <v>269</v>
      </c>
    </row>
    <row r="20" spans="1:2" ht="14" x14ac:dyDescent="0.3">
      <c r="A20" s="259" t="s">
        <v>251</v>
      </c>
      <c r="B20" s="260"/>
    </row>
    <row r="21" spans="1:2" ht="42" x14ac:dyDescent="0.3">
      <c r="A21" s="259" t="s">
        <v>14</v>
      </c>
      <c r="B21" s="260" t="s">
        <v>266</v>
      </c>
    </row>
    <row r="22" spans="1:2" ht="28" x14ac:dyDescent="0.3">
      <c r="A22" s="259" t="s">
        <v>254</v>
      </c>
      <c r="B22" s="260" t="s">
        <v>267</v>
      </c>
    </row>
    <row r="23" spans="1:2" ht="56" x14ac:dyDescent="0.3">
      <c r="A23" s="259" t="s">
        <v>15</v>
      </c>
      <c r="B23" s="260" t="s">
        <v>270</v>
      </c>
    </row>
  </sheetData>
  <mergeCells count="2">
    <mergeCell ref="A1:A3"/>
    <mergeCell ref="B1:B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AX1015"/>
  <sheetViews>
    <sheetView topLeftCell="G5" zoomScale="55" zoomScaleNormal="55" workbookViewId="0">
      <selection activeCell="M5" sqref="M5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hidden="1" customWidth="1"/>
    <col min="4" max="4" width="23.25" customWidth="1"/>
    <col min="5" max="5" width="12.08203125" customWidth="1"/>
    <col min="6" max="6" width="10" customWidth="1"/>
    <col min="7" max="7" width="9.75" customWidth="1"/>
    <col min="8" max="8" width="13.33203125" customWidth="1"/>
    <col min="9" max="9" width="13.25" customWidth="1"/>
    <col min="10" max="10" width="12.08203125" customWidth="1"/>
    <col min="11" max="11" width="7.58203125" customWidth="1"/>
    <col min="12" max="12" width="11" customWidth="1"/>
    <col min="13" max="13" width="14.58203125" customWidth="1"/>
    <col min="14" max="14" width="16.83203125" customWidth="1"/>
    <col min="15" max="15" width="11.58203125" customWidth="1"/>
    <col min="16" max="16" width="9.83203125" customWidth="1"/>
    <col min="17" max="17" width="9.25" customWidth="1"/>
    <col min="18" max="18" width="14.25" customWidth="1"/>
    <col min="19" max="19" width="9.08203125" bestFit="1" customWidth="1"/>
    <col min="20" max="20" width="7.58203125" customWidth="1"/>
    <col min="21" max="21" width="7.58203125" style="264" customWidth="1"/>
    <col min="22" max="22" width="14.83203125" style="264" customWidth="1"/>
    <col min="23" max="23" width="11.58203125" customWidth="1"/>
    <col min="24" max="24" width="13.58203125" customWidth="1"/>
    <col min="25" max="25" width="11" customWidth="1"/>
    <col min="26" max="26" width="11.58203125" customWidth="1"/>
    <col min="27" max="27" width="13.83203125" customWidth="1"/>
    <col min="28" max="28" width="22.58203125" customWidth="1"/>
    <col min="29" max="29" width="14.08203125" customWidth="1"/>
    <col min="30" max="30" width="7.58203125" customWidth="1"/>
    <col min="31" max="31" width="10" customWidth="1"/>
    <col min="32" max="32" width="8.58203125" bestFit="1" customWidth="1"/>
    <col min="33" max="33" width="7.58203125" customWidth="1"/>
    <col min="34" max="34" width="9.08203125" style="264" bestFit="1" customWidth="1"/>
    <col min="35" max="35" width="13.6640625" style="264" customWidth="1"/>
    <col min="36" max="36" width="10.83203125" customWidth="1"/>
    <col min="37" max="37" width="9.08203125" bestFit="1" customWidth="1"/>
    <col min="38" max="38" width="7.58203125" customWidth="1"/>
    <col min="39" max="39" width="8.58203125" style="264" bestFit="1" customWidth="1"/>
    <col min="40" max="40" width="16.5" style="264" customWidth="1"/>
    <col min="41" max="41" width="14.33203125" customWidth="1"/>
    <col min="42" max="43" width="7.58203125" customWidth="1"/>
    <col min="44" max="44" width="22" customWidth="1"/>
  </cols>
  <sheetData>
    <row r="1" spans="1:44" ht="14.25" customHeight="1" x14ac:dyDescent="0.3">
      <c r="A1" s="352" t="s">
        <v>0</v>
      </c>
      <c r="B1" s="352" t="s">
        <v>1</v>
      </c>
      <c r="C1" s="355" t="s">
        <v>2</v>
      </c>
      <c r="D1" s="382" t="s">
        <v>3</v>
      </c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4"/>
      <c r="W1" s="377" t="s">
        <v>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4" t="s">
        <v>5</v>
      </c>
    </row>
    <row r="2" spans="1:44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85</v>
      </c>
      <c r="H2" s="375" t="s">
        <v>86</v>
      </c>
      <c r="I2" s="375" t="s">
        <v>9</v>
      </c>
      <c r="J2" s="375" t="s">
        <v>7</v>
      </c>
      <c r="K2" s="375" t="s">
        <v>8</v>
      </c>
      <c r="L2" s="375" t="s">
        <v>85</v>
      </c>
      <c r="M2" s="375" t="s">
        <v>86</v>
      </c>
      <c r="N2" s="375" t="s">
        <v>10</v>
      </c>
      <c r="O2" s="375" t="s">
        <v>7</v>
      </c>
      <c r="P2" s="375" t="s">
        <v>8</v>
      </c>
      <c r="Q2" s="375" t="s">
        <v>85</v>
      </c>
      <c r="R2" s="375" t="s">
        <v>86</v>
      </c>
      <c r="S2" s="373" t="s">
        <v>11</v>
      </c>
      <c r="T2" s="372"/>
      <c r="U2" s="375" t="s">
        <v>85</v>
      </c>
      <c r="V2" s="375" t="s">
        <v>86</v>
      </c>
      <c r="W2" s="362" t="s">
        <v>12</v>
      </c>
      <c r="X2" s="362" t="s">
        <v>7</v>
      </c>
      <c r="Y2" s="362" t="s">
        <v>8</v>
      </c>
      <c r="Z2" s="362" t="s">
        <v>85</v>
      </c>
      <c r="AA2" s="362" t="s">
        <v>86</v>
      </c>
      <c r="AB2" s="362" t="s">
        <v>13</v>
      </c>
      <c r="AC2" s="362" t="s">
        <v>7</v>
      </c>
      <c r="AD2" s="362" t="s">
        <v>8</v>
      </c>
      <c r="AE2" s="362" t="s">
        <v>14</v>
      </c>
      <c r="AF2" s="362" t="s">
        <v>7</v>
      </c>
      <c r="AG2" s="362" t="s">
        <v>8</v>
      </c>
      <c r="AH2" s="362" t="s">
        <v>85</v>
      </c>
      <c r="AI2" s="362" t="s">
        <v>86</v>
      </c>
      <c r="AJ2" s="362" t="s">
        <v>15</v>
      </c>
      <c r="AK2" s="362" t="s">
        <v>7</v>
      </c>
      <c r="AL2" s="362" t="s">
        <v>8</v>
      </c>
      <c r="AM2" s="362" t="s">
        <v>85</v>
      </c>
      <c r="AN2" s="362" t="s">
        <v>86</v>
      </c>
      <c r="AO2" s="362" t="s">
        <v>16</v>
      </c>
      <c r="AP2" s="362" t="s">
        <v>7</v>
      </c>
      <c r="AQ2" s="362" t="s">
        <v>8</v>
      </c>
      <c r="AR2" s="353"/>
    </row>
    <row r="3" spans="1:44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1" t="s">
        <v>17</v>
      </c>
      <c r="T3" s="1" t="s">
        <v>8</v>
      </c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</row>
    <row r="4" spans="1:44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2">
        <f>'Unit Fungsi'!E4</f>
        <v>9.0327994274291078E-5</v>
      </c>
      <c r="F4" s="61" t="s">
        <v>199</v>
      </c>
      <c r="G4" s="51">
        <f>CF!I3</f>
        <v>5.3700000000000004E-5</v>
      </c>
      <c r="H4" s="70">
        <f>E4*G4</f>
        <v>4.8506132925294315E-9</v>
      </c>
      <c r="I4" s="5" t="s">
        <v>22</v>
      </c>
      <c r="J4" s="43">
        <f>'Unit Fungsi'!H4</f>
        <v>5.2029606346859013E-2</v>
      </c>
      <c r="K4" s="18" t="s">
        <v>203</v>
      </c>
      <c r="L4" s="44">
        <f>CF!I7</f>
        <v>6.3500000000000004E-4</v>
      </c>
      <c r="M4" s="52">
        <f>J4*L4</f>
        <v>3.3038800030255474E-5</v>
      </c>
      <c r="N4" s="7"/>
      <c r="O4" s="7"/>
      <c r="P4" s="7"/>
      <c r="Q4" s="7"/>
      <c r="R4" s="7"/>
      <c r="S4" s="7"/>
      <c r="T4" s="7"/>
      <c r="U4" s="24"/>
      <c r="V4" s="24"/>
      <c r="W4" s="8" t="s">
        <v>24</v>
      </c>
      <c r="X4" s="44">
        <f>'Unit Fungsi'!P4</f>
        <v>2.6537937215426107E-4</v>
      </c>
      <c r="Y4" s="20" t="s">
        <v>205</v>
      </c>
      <c r="Z4" s="53">
        <f>CF!I21</f>
        <v>2.7099999999999997E-4</v>
      </c>
      <c r="AA4" s="54">
        <f t="shared" ref="AA4:AA6" si="0">X4*Z4</f>
        <v>7.1917809853804742E-8</v>
      </c>
      <c r="AB4" s="10" t="s">
        <v>26</v>
      </c>
      <c r="AC4" s="42">
        <f>'Unit Fungsi'!S4</f>
        <v>6.4818322919460664E-5</v>
      </c>
      <c r="AD4" s="11" t="s">
        <v>27</v>
      </c>
      <c r="AE4" s="12"/>
      <c r="AF4" s="12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4"/>
    </row>
    <row r="5" spans="1:44" ht="14.25" customHeight="1" x14ac:dyDescent="0.3">
      <c r="A5" s="353"/>
      <c r="B5" s="353"/>
      <c r="C5" s="15" t="s">
        <v>28</v>
      </c>
      <c r="D5" s="7"/>
      <c r="E5" s="45"/>
      <c r="F5" s="25"/>
      <c r="G5" s="16"/>
      <c r="H5" s="16"/>
      <c r="I5" s="7"/>
      <c r="J5" s="45"/>
      <c r="K5" s="25"/>
      <c r="L5" s="16"/>
      <c r="M5" s="16"/>
      <c r="N5" s="7"/>
      <c r="O5" s="7"/>
      <c r="P5" s="7"/>
      <c r="Q5" s="7"/>
      <c r="R5" s="7"/>
      <c r="S5" s="7"/>
      <c r="T5" s="7"/>
      <c r="U5" s="24"/>
      <c r="V5" s="24"/>
      <c r="W5" s="17" t="s">
        <v>29</v>
      </c>
      <c r="X5" s="44">
        <f>'Unit Fungsi'!P5</f>
        <v>4.0355203274750791E-3</v>
      </c>
      <c r="Y5" s="18" t="s">
        <v>206</v>
      </c>
      <c r="Z5" s="55">
        <f>CF!I22</f>
        <v>2.2200000000000002E-3</v>
      </c>
      <c r="AA5" s="56">
        <f t="shared" si="0"/>
        <v>8.9588551269946758E-6</v>
      </c>
      <c r="AB5" s="7"/>
      <c r="AC5" s="16"/>
      <c r="AD5" s="7"/>
      <c r="AE5" s="7"/>
      <c r="AF5" s="7"/>
      <c r="AG5" s="7"/>
      <c r="AH5" s="24"/>
      <c r="AI5" s="24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14.25" customHeight="1" x14ac:dyDescent="0.3">
      <c r="A6" s="353"/>
      <c r="B6" s="353"/>
      <c r="C6" s="15"/>
      <c r="D6" s="7"/>
      <c r="E6" s="45"/>
      <c r="F6" s="25"/>
      <c r="G6" s="16"/>
      <c r="H6" s="16"/>
      <c r="I6" s="7"/>
      <c r="J6" s="45"/>
      <c r="K6" s="25"/>
      <c r="L6" s="16"/>
      <c r="M6" s="16"/>
      <c r="N6" s="7"/>
      <c r="O6" s="7"/>
      <c r="P6" s="7"/>
      <c r="Q6" s="7"/>
      <c r="R6" s="7"/>
      <c r="S6" s="7"/>
      <c r="T6" s="7"/>
      <c r="U6" s="24"/>
      <c r="V6" s="24"/>
      <c r="W6" s="17" t="s">
        <v>31</v>
      </c>
      <c r="X6" s="44">
        <f>'Unit Fungsi'!P6</f>
        <v>0.15772065669418306</v>
      </c>
      <c r="Y6" s="18" t="s">
        <v>207</v>
      </c>
      <c r="Z6" s="55">
        <f>CF!I23</f>
        <v>9.4300000000000004E-4</v>
      </c>
      <c r="AA6" s="56">
        <f t="shared" si="0"/>
        <v>1.4873057926261462E-4</v>
      </c>
      <c r="AB6" s="7"/>
      <c r="AC6" s="16"/>
      <c r="AD6" s="7"/>
      <c r="AE6" s="7"/>
      <c r="AF6" s="7"/>
      <c r="AG6" s="7"/>
      <c r="AH6" s="24"/>
      <c r="AI6" s="24"/>
      <c r="AJ6" s="13"/>
      <c r="AK6" s="13"/>
      <c r="AL6" s="13"/>
      <c r="AM6" s="13"/>
      <c r="AN6" s="13"/>
      <c r="AO6" s="13"/>
      <c r="AP6" s="13"/>
      <c r="AQ6" s="13"/>
      <c r="AR6" s="14"/>
    </row>
    <row r="7" spans="1:44" ht="14.25" customHeight="1" x14ac:dyDescent="0.3">
      <c r="A7" s="354"/>
      <c r="B7" s="354"/>
      <c r="C7" s="15"/>
      <c r="D7" s="7"/>
      <c r="E7" s="45"/>
      <c r="F7" s="25"/>
      <c r="G7" s="16"/>
      <c r="H7" s="16"/>
      <c r="I7" s="7"/>
      <c r="J7" s="45"/>
      <c r="K7" s="25"/>
      <c r="L7" s="16"/>
      <c r="M7" s="16"/>
      <c r="N7" s="7"/>
      <c r="O7" s="7"/>
      <c r="P7" s="7"/>
      <c r="Q7" s="7"/>
      <c r="R7" s="7"/>
      <c r="S7" s="7"/>
      <c r="T7" s="7"/>
      <c r="U7" s="24"/>
      <c r="V7" s="24"/>
      <c r="W7" s="7"/>
      <c r="X7" s="46"/>
      <c r="Y7" s="25"/>
      <c r="Z7" s="16"/>
      <c r="AA7" s="16"/>
      <c r="AB7" s="7"/>
      <c r="AC7" s="16"/>
      <c r="AD7" s="7"/>
      <c r="AE7" s="7"/>
      <c r="AF7" s="7"/>
      <c r="AG7" s="7"/>
      <c r="AH7" s="24"/>
      <c r="AI7" s="24"/>
      <c r="AJ7" s="13"/>
      <c r="AK7" s="13"/>
      <c r="AL7" s="13"/>
      <c r="AM7" s="13"/>
      <c r="AN7" s="13"/>
      <c r="AO7" s="13"/>
      <c r="AP7" s="13"/>
      <c r="AQ7" s="13"/>
      <c r="AR7" s="14"/>
    </row>
    <row r="8" spans="1:44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43">
        <f>'Unit Fungsi'!E8</f>
        <v>0.26383552526843329</v>
      </c>
      <c r="F8" s="18" t="s">
        <v>200</v>
      </c>
      <c r="G8" s="55">
        <f>CF!I4</f>
        <v>5.3700000000000004E-5</v>
      </c>
      <c r="H8" s="73">
        <f>E8*G8</f>
        <v>1.4167967706914869E-5</v>
      </c>
      <c r="I8" s="5" t="s">
        <v>22</v>
      </c>
      <c r="J8" s="43">
        <f>'Unit Fungsi'!H8</f>
        <v>0.36838263291716555</v>
      </c>
      <c r="K8" s="18" t="s">
        <v>203</v>
      </c>
      <c r="L8" s="44">
        <f>L4</f>
        <v>6.3500000000000004E-4</v>
      </c>
      <c r="M8" s="52">
        <f>J8*L8</f>
        <v>2.3392297190240015E-4</v>
      </c>
      <c r="N8" s="7"/>
      <c r="O8" s="7"/>
      <c r="P8" s="7"/>
      <c r="Q8" s="7"/>
      <c r="R8" s="7"/>
      <c r="S8" s="7"/>
      <c r="T8" s="7"/>
      <c r="U8" s="24"/>
      <c r="V8" s="24"/>
      <c r="W8" s="8" t="s">
        <v>24</v>
      </c>
      <c r="X8" s="44">
        <f>'Unit Fungsi'!P8</f>
        <v>1.8789523638591357E-3</v>
      </c>
      <c r="Y8" s="20" t="s">
        <v>205</v>
      </c>
      <c r="Z8" s="53">
        <f t="shared" ref="Z8:Z10" si="1">Z4</f>
        <v>2.7099999999999997E-4</v>
      </c>
      <c r="AA8" s="54">
        <f t="shared" ref="AA8:AA10" si="2">X8*Z8</f>
        <v>5.0919609060582574E-7</v>
      </c>
      <c r="AB8" s="19" t="s">
        <v>34</v>
      </c>
      <c r="AC8" s="43">
        <f>'Unit Fungsi'!S8</f>
        <v>0.26383552526843329</v>
      </c>
      <c r="AD8" s="20" t="s">
        <v>35</v>
      </c>
      <c r="AE8" s="7"/>
      <c r="AF8" s="7"/>
      <c r="AG8" s="7"/>
      <c r="AH8" s="24"/>
      <c r="AI8" s="24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4.25" customHeight="1" x14ac:dyDescent="0.3">
      <c r="A9" s="353"/>
      <c r="B9" s="353"/>
      <c r="C9" s="2" t="s">
        <v>36</v>
      </c>
      <c r="D9" s="7"/>
      <c r="E9" s="45"/>
      <c r="F9" s="25"/>
      <c r="G9" s="16"/>
      <c r="H9" s="16"/>
      <c r="I9" s="7"/>
      <c r="J9" s="45"/>
      <c r="K9" s="25"/>
      <c r="L9" s="16"/>
      <c r="M9" s="16"/>
      <c r="N9" s="7"/>
      <c r="O9" s="7"/>
      <c r="P9" s="7"/>
      <c r="Q9" s="7"/>
      <c r="R9" s="7"/>
      <c r="S9" s="7"/>
      <c r="T9" s="7"/>
      <c r="U9" s="24"/>
      <c r="V9" s="24"/>
      <c r="W9" s="17" t="s">
        <v>29</v>
      </c>
      <c r="X9" s="44">
        <f>'Unit Fungsi'!P9</f>
        <v>2.8572493774321198E-2</v>
      </c>
      <c r="Y9" s="18" t="s">
        <v>206</v>
      </c>
      <c r="Z9" s="55">
        <f t="shared" si="1"/>
        <v>2.2200000000000002E-3</v>
      </c>
      <c r="AA9" s="56">
        <f t="shared" si="2"/>
        <v>6.3430936178993059E-5</v>
      </c>
      <c r="AB9" s="21"/>
      <c r="AC9" s="16"/>
      <c r="AD9" s="21"/>
      <c r="AE9" s="7"/>
      <c r="AF9" s="7"/>
      <c r="AG9" s="7"/>
      <c r="AH9" s="24"/>
      <c r="AI9" s="24"/>
      <c r="AJ9" s="13"/>
      <c r="AK9" s="13"/>
      <c r="AL9" s="13"/>
      <c r="AM9" s="13"/>
      <c r="AN9" s="13"/>
      <c r="AO9" s="13"/>
      <c r="AP9" s="13"/>
      <c r="AQ9" s="13"/>
      <c r="AR9" s="14"/>
    </row>
    <row r="10" spans="1:44" ht="14.25" customHeight="1" x14ac:dyDescent="0.3">
      <c r="A10" s="353"/>
      <c r="B10" s="353"/>
      <c r="C10" s="2"/>
      <c r="D10" s="7"/>
      <c r="E10" s="45"/>
      <c r="F10" s="25"/>
      <c r="G10" s="16"/>
      <c r="H10" s="16"/>
      <c r="I10" s="7"/>
      <c r="J10" s="45"/>
      <c r="K10" s="25"/>
      <c r="L10" s="16"/>
      <c r="M10" s="16"/>
      <c r="N10" s="7"/>
      <c r="O10" s="7"/>
      <c r="P10" s="7"/>
      <c r="Q10" s="7"/>
      <c r="R10" s="7"/>
      <c r="S10" s="7"/>
      <c r="T10" s="7"/>
      <c r="U10" s="24"/>
      <c r="V10" s="24"/>
      <c r="W10" s="17" t="s">
        <v>31</v>
      </c>
      <c r="X10" s="44">
        <f>'Unit Fungsi'!P10</f>
        <v>1.1167017176929894</v>
      </c>
      <c r="Y10" s="18" t="s">
        <v>207</v>
      </c>
      <c r="Z10" s="55">
        <f t="shared" si="1"/>
        <v>9.4300000000000004E-4</v>
      </c>
      <c r="AA10" s="56">
        <f t="shared" si="2"/>
        <v>1.0530497197844891E-3</v>
      </c>
      <c r="AB10" s="21"/>
      <c r="AC10" s="16"/>
      <c r="AD10" s="21"/>
      <c r="AE10" s="7"/>
      <c r="AF10" s="7"/>
      <c r="AG10" s="7"/>
      <c r="AH10" s="24"/>
      <c r="AI10" s="24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4.25" customHeight="1" x14ac:dyDescent="0.3">
      <c r="A11" s="354"/>
      <c r="B11" s="354"/>
      <c r="C11" s="2"/>
      <c r="D11" s="7"/>
      <c r="E11" s="45"/>
      <c r="F11" s="25"/>
      <c r="G11" s="16"/>
      <c r="H11" s="16"/>
      <c r="I11" s="7"/>
      <c r="J11" s="45"/>
      <c r="K11" s="25"/>
      <c r="L11" s="16"/>
      <c r="M11" s="16"/>
      <c r="N11" s="7"/>
      <c r="O11" s="7"/>
      <c r="P11" s="7"/>
      <c r="Q11" s="7"/>
      <c r="R11" s="7"/>
      <c r="S11" s="7"/>
      <c r="T11" s="7"/>
      <c r="U11" s="24"/>
      <c r="V11" s="24"/>
      <c r="W11" s="21"/>
      <c r="X11" s="46"/>
      <c r="Y11" s="22"/>
      <c r="Z11" s="22"/>
      <c r="AA11" s="22"/>
      <c r="AB11" s="21"/>
      <c r="AC11" s="16"/>
      <c r="AD11" s="21"/>
      <c r="AE11" s="7"/>
      <c r="AF11" s="7"/>
      <c r="AG11" s="7"/>
      <c r="AH11" s="24"/>
      <c r="AI11" s="24"/>
      <c r="AJ11" s="13"/>
      <c r="AK11" s="13"/>
      <c r="AL11" s="13"/>
      <c r="AM11" s="13"/>
      <c r="AN11" s="13"/>
      <c r="AO11" s="13"/>
      <c r="AP11" s="13"/>
      <c r="AQ11" s="13"/>
      <c r="AR11" s="14"/>
    </row>
    <row r="12" spans="1:44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47">
        <f>'Unit Fungsi'!E12</f>
        <v>24.839966543981944</v>
      </c>
      <c r="F12" s="58" t="s">
        <v>201</v>
      </c>
      <c r="G12" s="58">
        <v>0</v>
      </c>
      <c r="H12" s="59">
        <f>E12*G12</f>
        <v>0</v>
      </c>
      <c r="I12" s="5" t="s">
        <v>22</v>
      </c>
      <c r="J12" s="43">
        <f>'Unit Fungsi'!H12</f>
        <v>8.9641777063480463E-2</v>
      </c>
      <c r="K12" s="18" t="s">
        <v>203</v>
      </c>
      <c r="L12" s="44">
        <f>L4</f>
        <v>6.3500000000000004E-4</v>
      </c>
      <c r="M12" s="52">
        <f>J12*L12</f>
        <v>5.6922528435310099E-5</v>
      </c>
      <c r="N12" s="10" t="s">
        <v>41</v>
      </c>
      <c r="O12" s="48">
        <f>'Unit Fungsi'!K12</f>
        <v>2.5838915890496632E-2</v>
      </c>
      <c r="P12" s="18" t="s">
        <v>203</v>
      </c>
      <c r="Q12" s="18">
        <v>0</v>
      </c>
      <c r="R12" s="60">
        <f t="shared" ref="R12:R16" si="3">O12*Q12</f>
        <v>0</v>
      </c>
      <c r="S12" s="7"/>
      <c r="T12" s="7"/>
      <c r="U12" s="24"/>
      <c r="V12" s="24"/>
      <c r="W12" s="8" t="s">
        <v>24</v>
      </c>
      <c r="X12" s="44">
        <f>'Unit Fungsi'!P12</f>
        <v>4.572219585385123E-4</v>
      </c>
      <c r="Y12" s="20" t="s">
        <v>205</v>
      </c>
      <c r="Z12" s="53">
        <f t="shared" ref="Z12:Z14" si="4">Z4</f>
        <v>2.7099999999999997E-4</v>
      </c>
      <c r="AA12" s="54">
        <f t="shared" ref="AA12:AA14" si="5">X12*Z12</f>
        <v>1.2390715076393683E-7</v>
      </c>
      <c r="AB12" s="19" t="s">
        <v>43</v>
      </c>
      <c r="AC12" s="49">
        <f>'Unit Fungsi'!S12</f>
        <v>22.057890291055969</v>
      </c>
      <c r="AD12" s="20" t="s">
        <v>40</v>
      </c>
      <c r="AE12" s="7"/>
      <c r="AF12" s="7"/>
      <c r="AG12" s="7"/>
      <c r="AH12" s="24"/>
      <c r="AI12" s="24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4.25" customHeight="1" x14ac:dyDescent="0.3">
      <c r="A13" s="353"/>
      <c r="B13" s="353"/>
      <c r="C13" s="10"/>
      <c r="D13" s="7"/>
      <c r="E13" s="45"/>
      <c r="F13" s="25"/>
      <c r="G13" s="16"/>
      <c r="H13" s="16"/>
      <c r="I13" s="7"/>
      <c r="J13" s="45"/>
      <c r="K13" s="25"/>
      <c r="L13" s="16"/>
      <c r="M13" s="16"/>
      <c r="N13" s="10" t="s">
        <v>44</v>
      </c>
      <c r="O13" s="48">
        <f>'Unit Fungsi'!K13</f>
        <v>3.4478466078456207E-3</v>
      </c>
      <c r="P13" s="18" t="s">
        <v>203</v>
      </c>
      <c r="Q13" s="18">
        <v>0</v>
      </c>
      <c r="R13" s="60">
        <f t="shared" si="3"/>
        <v>0</v>
      </c>
      <c r="S13" s="7"/>
      <c r="T13" s="7"/>
      <c r="U13" s="24"/>
      <c r="V13" s="24"/>
      <c r="W13" s="17" t="s">
        <v>29</v>
      </c>
      <c r="X13" s="44">
        <f>'Unit Fungsi'!P13</f>
        <v>6.9527955125976721E-3</v>
      </c>
      <c r="Y13" s="18" t="s">
        <v>206</v>
      </c>
      <c r="Z13" s="55">
        <f t="shared" si="4"/>
        <v>2.2200000000000002E-3</v>
      </c>
      <c r="AA13" s="56">
        <f t="shared" si="5"/>
        <v>1.5435206037966833E-5</v>
      </c>
      <c r="AB13" s="7"/>
      <c r="AC13" s="16"/>
      <c r="AD13" s="7"/>
      <c r="AE13" s="7"/>
      <c r="AF13" s="7"/>
      <c r="AG13" s="7"/>
      <c r="AH13" s="24"/>
      <c r="AI13" s="24"/>
      <c r="AJ13" s="13"/>
      <c r="AK13" s="13"/>
      <c r="AL13" s="13"/>
      <c r="AM13" s="13"/>
      <c r="AN13" s="13"/>
      <c r="AO13" s="13"/>
      <c r="AP13" s="13"/>
      <c r="AQ13" s="13"/>
      <c r="AR13" s="14"/>
    </row>
    <row r="14" spans="1:44" ht="14.25" customHeight="1" x14ac:dyDescent="0.3">
      <c r="A14" s="353"/>
      <c r="B14" s="353"/>
      <c r="C14" s="10"/>
      <c r="D14" s="7"/>
      <c r="E14" s="45"/>
      <c r="F14" s="25"/>
      <c r="G14" s="16"/>
      <c r="H14" s="16"/>
      <c r="I14" s="7"/>
      <c r="J14" s="45"/>
      <c r="K14" s="25"/>
      <c r="L14" s="16"/>
      <c r="M14" s="16"/>
      <c r="N14" s="10" t="s">
        <v>45</v>
      </c>
      <c r="O14" s="48">
        <f>'Unit Fungsi'!K14</f>
        <v>0.71937191858710159</v>
      </c>
      <c r="P14" s="61" t="s">
        <v>203</v>
      </c>
      <c r="Q14" s="61">
        <v>0</v>
      </c>
      <c r="R14" s="60">
        <f t="shared" si="3"/>
        <v>0</v>
      </c>
      <c r="S14" s="7"/>
      <c r="T14" s="7"/>
      <c r="U14" s="24"/>
      <c r="V14" s="24"/>
      <c r="W14" s="17" t="s">
        <v>31</v>
      </c>
      <c r="X14" s="44">
        <f>'Unit Fungsi'!P14</f>
        <v>0.27173682328925053</v>
      </c>
      <c r="Y14" s="18" t="s">
        <v>207</v>
      </c>
      <c r="Z14" s="55">
        <f t="shared" si="4"/>
        <v>9.4300000000000004E-4</v>
      </c>
      <c r="AA14" s="56">
        <f t="shared" si="5"/>
        <v>2.5624782436176323E-4</v>
      </c>
      <c r="AB14" s="7"/>
      <c r="AC14" s="16"/>
      <c r="AD14" s="7"/>
      <c r="AE14" s="7"/>
      <c r="AF14" s="7"/>
      <c r="AG14" s="7"/>
      <c r="AH14" s="24"/>
      <c r="AI14" s="24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4.25" customHeight="1" x14ac:dyDescent="0.3">
      <c r="A15" s="353"/>
      <c r="B15" s="353"/>
      <c r="C15" s="10"/>
      <c r="D15" s="7"/>
      <c r="E15" s="45"/>
      <c r="F15" s="25"/>
      <c r="G15" s="16"/>
      <c r="H15" s="16"/>
      <c r="I15" s="7"/>
      <c r="J15" s="45"/>
      <c r="K15" s="25"/>
      <c r="L15" s="16"/>
      <c r="M15" s="16"/>
      <c r="N15" s="10" t="s">
        <v>46</v>
      </c>
      <c r="O15" s="48">
        <f>'Unit Fungsi'!K15</f>
        <v>1.0797875586246475</v>
      </c>
      <c r="P15" s="61" t="s">
        <v>203</v>
      </c>
      <c r="Q15" s="61">
        <v>0</v>
      </c>
      <c r="R15" s="60">
        <f t="shared" si="3"/>
        <v>0</v>
      </c>
      <c r="S15" s="7"/>
      <c r="T15" s="7"/>
      <c r="U15" s="24"/>
      <c r="V15" s="24"/>
      <c r="W15" s="24"/>
      <c r="X15" s="16"/>
      <c r="Y15" s="25"/>
      <c r="Z15" s="25"/>
      <c r="AA15" s="25"/>
      <c r="AB15" s="7"/>
      <c r="AC15" s="16"/>
      <c r="AD15" s="7"/>
      <c r="AE15" s="7"/>
      <c r="AF15" s="7"/>
      <c r="AG15" s="7"/>
      <c r="AH15" s="24"/>
      <c r="AI15" s="24"/>
      <c r="AJ15" s="13"/>
      <c r="AK15" s="13"/>
      <c r="AL15" s="13"/>
      <c r="AM15" s="13"/>
      <c r="AN15" s="13"/>
      <c r="AO15" s="13"/>
      <c r="AP15" s="13"/>
      <c r="AQ15" s="13"/>
      <c r="AR15" s="14"/>
    </row>
    <row r="16" spans="1:44" ht="14.25" customHeight="1" x14ac:dyDescent="0.3">
      <c r="A16" s="353"/>
      <c r="B16" s="353"/>
      <c r="C16" s="10"/>
      <c r="D16" s="7"/>
      <c r="E16" s="45"/>
      <c r="F16" s="25"/>
      <c r="G16" s="16"/>
      <c r="H16" s="16"/>
      <c r="I16" s="7"/>
      <c r="J16" s="45"/>
      <c r="K16" s="25"/>
      <c r="L16" s="16"/>
      <c r="M16" s="16"/>
      <c r="N16" s="3" t="s">
        <v>47</v>
      </c>
      <c r="O16" s="48">
        <f>'Unit Fungsi'!K16</f>
        <v>3.1853188397032023E-2</v>
      </c>
      <c r="P16" s="61" t="s">
        <v>204</v>
      </c>
      <c r="Q16" s="61">
        <v>0</v>
      </c>
      <c r="R16" s="60">
        <f t="shared" si="3"/>
        <v>0</v>
      </c>
      <c r="S16" s="7"/>
      <c r="T16" s="7"/>
      <c r="U16" s="24"/>
      <c r="V16" s="24"/>
      <c r="W16" s="24"/>
      <c r="X16" s="16"/>
      <c r="Y16" s="25"/>
      <c r="Z16" s="25"/>
      <c r="AA16" s="25"/>
      <c r="AB16" s="7"/>
      <c r="AC16" s="16"/>
      <c r="AD16" s="7"/>
      <c r="AE16" s="7"/>
      <c r="AF16" s="7"/>
      <c r="AG16" s="7"/>
      <c r="AH16" s="24"/>
      <c r="AI16" s="24"/>
      <c r="AJ16" s="13"/>
      <c r="AK16" s="13"/>
      <c r="AL16" s="13"/>
      <c r="AM16" s="13"/>
      <c r="AN16" s="13"/>
      <c r="AO16" s="13"/>
      <c r="AP16" s="13"/>
      <c r="AQ16" s="13"/>
      <c r="AR16" s="14"/>
    </row>
    <row r="17" spans="1:44" ht="14.25" customHeight="1" x14ac:dyDescent="0.35">
      <c r="A17" s="354"/>
      <c r="B17" s="354"/>
      <c r="C17" s="10"/>
      <c r="D17" s="7"/>
      <c r="E17" s="45"/>
      <c r="F17" s="25"/>
      <c r="G17" s="16"/>
      <c r="H17" s="16"/>
      <c r="I17" s="7"/>
      <c r="J17" s="45"/>
      <c r="K17" s="25"/>
      <c r="L17" s="16"/>
      <c r="M17" s="16"/>
      <c r="N17" s="26"/>
      <c r="O17" s="26"/>
      <c r="P17" s="26"/>
      <c r="Q17" s="26"/>
      <c r="R17" s="26"/>
      <c r="S17" s="7"/>
      <c r="T17" s="7"/>
      <c r="U17" s="24"/>
      <c r="V17" s="24"/>
      <c r="W17" s="7"/>
      <c r="X17" s="16"/>
      <c r="Y17" s="25"/>
      <c r="Z17" s="16"/>
      <c r="AA17" s="16"/>
      <c r="AB17" s="7"/>
      <c r="AC17" s="16"/>
      <c r="AD17" s="7"/>
      <c r="AE17" s="7"/>
      <c r="AF17" s="7"/>
      <c r="AG17" s="7"/>
      <c r="AH17" s="24"/>
      <c r="AI17" s="24"/>
      <c r="AJ17" s="13"/>
      <c r="AK17" s="13"/>
      <c r="AL17" s="13"/>
      <c r="AM17" s="13"/>
      <c r="AN17" s="13"/>
      <c r="AO17" s="13"/>
      <c r="AP17" s="13"/>
      <c r="AQ17" s="13"/>
      <c r="AR17" s="14"/>
    </row>
    <row r="18" spans="1:44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43">
        <f>'Unit Fungsi'!E18</f>
        <v>24.839966543981944</v>
      </c>
      <c r="F18" s="18" t="s">
        <v>201</v>
      </c>
      <c r="G18" s="18">
        <v>0</v>
      </c>
      <c r="H18" s="60">
        <f>E18*G18</f>
        <v>0</v>
      </c>
      <c r="I18" s="3" t="s">
        <v>22</v>
      </c>
      <c r="J18" s="50">
        <f>'Unit Fungsi'!H18</f>
        <v>9.197851763478754</v>
      </c>
      <c r="K18" s="18" t="s">
        <v>203</v>
      </c>
      <c r="L18" s="51">
        <f>L4</f>
        <v>6.3500000000000004E-4</v>
      </c>
      <c r="M18" s="52">
        <f>J18*L18</f>
        <v>5.8406358698090089E-3</v>
      </c>
      <c r="N18" s="7"/>
      <c r="O18" s="7"/>
      <c r="P18" s="7"/>
      <c r="Q18" s="7"/>
      <c r="R18" s="7"/>
      <c r="S18" s="7"/>
      <c r="T18" s="7"/>
      <c r="U18" s="24"/>
      <c r="V18" s="24"/>
      <c r="W18" s="8" t="s">
        <v>24</v>
      </c>
      <c r="X18" s="44">
        <f>'Unit Fungsi'!P18</f>
        <v>4.6914061003794451E-2</v>
      </c>
      <c r="Y18" s="20" t="s">
        <v>205</v>
      </c>
      <c r="Z18" s="53">
        <f t="shared" ref="Z18:Z20" si="6">Z4</f>
        <v>2.7099999999999997E-4</v>
      </c>
      <c r="AA18" s="54">
        <f t="shared" ref="AA18:AA20" si="7">X18*Z18</f>
        <v>1.2713710532028295E-5</v>
      </c>
      <c r="AB18" s="5" t="s">
        <v>50</v>
      </c>
      <c r="AC18" s="43">
        <f>'Unit Fungsi'!S18</f>
        <v>24.839966543981944</v>
      </c>
      <c r="AD18" s="6" t="s">
        <v>40</v>
      </c>
      <c r="AE18" s="7"/>
      <c r="AF18" s="7"/>
      <c r="AG18" s="7"/>
      <c r="AH18" s="24"/>
      <c r="AI18" s="24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1:44" ht="14.25" customHeight="1" x14ac:dyDescent="0.3">
      <c r="A19" s="353"/>
      <c r="B19" s="353"/>
      <c r="C19" s="14" t="s">
        <v>51</v>
      </c>
      <c r="D19" s="7"/>
      <c r="E19" s="16"/>
      <c r="F19" s="25"/>
      <c r="G19" s="16"/>
      <c r="H19" s="16"/>
      <c r="I19" s="7"/>
      <c r="J19" s="45"/>
      <c r="K19" s="25"/>
      <c r="L19" s="16"/>
      <c r="M19" s="16"/>
      <c r="N19" s="7"/>
      <c r="O19" s="7"/>
      <c r="P19" s="7"/>
      <c r="Q19" s="7"/>
      <c r="R19" s="7"/>
      <c r="S19" s="7"/>
      <c r="T19" s="7"/>
      <c r="U19" s="24"/>
      <c r="V19" s="24"/>
      <c r="W19" s="17" t="s">
        <v>29</v>
      </c>
      <c r="X19" s="44">
        <f>'Unit Fungsi'!P19</f>
        <v>0.7134037784789391</v>
      </c>
      <c r="Y19" s="18" t="s">
        <v>206</v>
      </c>
      <c r="Z19" s="55">
        <f t="shared" si="6"/>
        <v>2.2200000000000002E-3</v>
      </c>
      <c r="AA19" s="56">
        <f t="shared" si="7"/>
        <v>1.583756388223245E-3</v>
      </c>
      <c r="AB19" s="7"/>
      <c r="AC19" s="16"/>
      <c r="AD19" s="7"/>
      <c r="AE19" s="7"/>
      <c r="AF19" s="7"/>
      <c r="AG19" s="7"/>
      <c r="AH19" s="24"/>
      <c r="AI19" s="24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1:44" ht="14.25" customHeight="1" x14ac:dyDescent="0.3">
      <c r="A20" s="353"/>
      <c r="B20" s="353"/>
      <c r="C20" s="14"/>
      <c r="D20" s="7"/>
      <c r="E20" s="16"/>
      <c r="F20" s="25"/>
      <c r="G20" s="16"/>
      <c r="H20" s="16"/>
      <c r="I20" s="7"/>
      <c r="J20" s="45"/>
      <c r="K20" s="25"/>
      <c r="L20" s="16"/>
      <c r="M20" s="16"/>
      <c r="N20" s="7"/>
      <c r="O20" s="7"/>
      <c r="P20" s="7"/>
      <c r="Q20" s="7"/>
      <c r="R20" s="7"/>
      <c r="S20" s="7"/>
      <c r="T20" s="7"/>
      <c r="U20" s="24"/>
      <c r="V20" s="24"/>
      <c r="W20" s="17" t="s">
        <v>31</v>
      </c>
      <c r="X20" s="44">
        <f>'Unit Fungsi'!P20</f>
        <v>27.882033368472637</v>
      </c>
      <c r="Y20" s="18" t="s">
        <v>207</v>
      </c>
      <c r="Z20" s="55">
        <f t="shared" si="6"/>
        <v>9.4300000000000004E-4</v>
      </c>
      <c r="AA20" s="56">
        <f t="shared" si="7"/>
        <v>2.62927574664697E-2</v>
      </c>
      <c r="AB20" s="7"/>
      <c r="AC20" s="16"/>
      <c r="AD20" s="7"/>
      <c r="AE20" s="7"/>
      <c r="AF20" s="7"/>
      <c r="AG20" s="7"/>
      <c r="AH20" s="24"/>
      <c r="AI20" s="24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1:44" ht="14.25" customHeight="1" x14ac:dyDescent="0.3">
      <c r="A21" s="354"/>
      <c r="B21" s="354"/>
      <c r="C21" s="14"/>
      <c r="D21" s="7"/>
      <c r="E21" s="16"/>
      <c r="F21" s="25"/>
      <c r="G21" s="16"/>
      <c r="H21" s="16"/>
      <c r="I21" s="7"/>
      <c r="J21" s="45"/>
      <c r="K21" s="25"/>
      <c r="L21" s="16"/>
      <c r="M21" s="16"/>
      <c r="N21" s="7"/>
      <c r="O21" s="7"/>
      <c r="P21" s="7"/>
      <c r="Q21" s="7"/>
      <c r="R21" s="7"/>
      <c r="S21" s="7"/>
      <c r="T21" s="7"/>
      <c r="U21" s="24"/>
      <c r="V21" s="24"/>
      <c r="W21" s="7"/>
      <c r="X21" s="46"/>
      <c r="Y21" s="25"/>
      <c r="Z21" s="16"/>
      <c r="AA21" s="16"/>
      <c r="AB21" s="7"/>
      <c r="AC21" s="16"/>
      <c r="AD21" s="7"/>
      <c r="AE21" s="7"/>
      <c r="AF21" s="7"/>
      <c r="AG21" s="7"/>
      <c r="AH21" s="24"/>
      <c r="AI21" s="24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1:44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f>'Unit Fungsi'!E22</f>
        <v>1</v>
      </c>
      <c r="F22" s="18" t="s">
        <v>202</v>
      </c>
      <c r="G22" s="44">
        <f>CF!I6</f>
        <v>2.26E-5</v>
      </c>
      <c r="H22" s="60">
        <f>CF!G6</f>
        <v>3.6299999999999999E-2</v>
      </c>
      <c r="I22" s="3" t="s">
        <v>22</v>
      </c>
      <c r="J22" s="48">
        <f>'Unit Fungsi'!H22</f>
        <v>0.15524651167584114</v>
      </c>
      <c r="K22" s="18" t="s">
        <v>203</v>
      </c>
      <c r="L22" s="51">
        <f>L4</f>
        <v>6.3500000000000004E-4</v>
      </c>
      <c r="M22" s="52">
        <f>J22*L22</f>
        <v>9.8581534914159134E-5</v>
      </c>
      <c r="N22" s="7"/>
      <c r="O22" s="7"/>
      <c r="P22" s="7"/>
      <c r="Q22" s="7"/>
      <c r="R22" s="7"/>
      <c r="S22" s="7"/>
      <c r="T22" s="7"/>
      <c r="U22" s="24"/>
      <c r="V22" s="24"/>
      <c r="W22" s="8" t="s">
        <v>24</v>
      </c>
      <c r="X22" s="44">
        <f>'Unit Fungsi'!P22</f>
        <v>7.9184188946224924E-4</v>
      </c>
      <c r="Y22" s="20" t="s">
        <v>205</v>
      </c>
      <c r="Z22" s="53">
        <f t="shared" ref="Z22:Z24" si="8">Z4</f>
        <v>2.7099999999999997E-4</v>
      </c>
      <c r="AA22" s="54">
        <f t="shared" ref="AA22:AA24" si="9">X22*Z22</f>
        <v>2.1458915204426953E-7</v>
      </c>
      <c r="AB22" s="17" t="s">
        <v>54</v>
      </c>
      <c r="AC22" s="6">
        <f>'Unit Fungsi'!S22</f>
        <v>1</v>
      </c>
      <c r="AD22" s="6" t="s">
        <v>55</v>
      </c>
      <c r="AE22" s="7"/>
      <c r="AF22" s="7"/>
      <c r="AG22" s="7"/>
      <c r="AH22" s="24"/>
      <c r="AI22" s="24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1:44" ht="14.25" customHeight="1" x14ac:dyDescent="0.3">
      <c r="A23" s="353"/>
      <c r="B23" s="353"/>
      <c r="C23" s="28"/>
      <c r="D23" s="7"/>
      <c r="E23" s="16"/>
      <c r="F23" s="25"/>
      <c r="G23" s="16"/>
      <c r="H23" s="16"/>
      <c r="I23" s="7"/>
      <c r="J23" s="45"/>
      <c r="K23" s="25"/>
      <c r="L23" s="16"/>
      <c r="M23" s="16"/>
      <c r="N23" s="7"/>
      <c r="O23" s="7"/>
      <c r="P23" s="7"/>
      <c r="Q23" s="7"/>
      <c r="R23" s="7"/>
      <c r="S23" s="7"/>
      <c r="T23" s="7"/>
      <c r="U23" s="24"/>
      <c r="V23" s="24"/>
      <c r="W23" s="17" t="s">
        <v>29</v>
      </c>
      <c r="X23" s="44">
        <f>'Unit Fungsi'!P23</f>
        <v>1.2041229938601588E-2</v>
      </c>
      <c r="Y23" s="18" t="s">
        <v>206</v>
      </c>
      <c r="Z23" s="55">
        <f t="shared" si="8"/>
        <v>2.2200000000000002E-3</v>
      </c>
      <c r="AA23" s="56">
        <f t="shared" si="9"/>
        <v>2.6731530463695527E-5</v>
      </c>
      <c r="AB23" s="24"/>
      <c r="AC23" s="16"/>
      <c r="AD23" s="16"/>
      <c r="AE23" s="7"/>
      <c r="AF23" s="7"/>
      <c r="AG23" s="7"/>
      <c r="AH23" s="24"/>
      <c r="AI23" s="24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1:44" ht="14.25" customHeight="1" x14ac:dyDescent="0.3">
      <c r="A24" s="353"/>
      <c r="B24" s="353"/>
      <c r="C24" s="28"/>
      <c r="D24" s="7"/>
      <c r="E24" s="16"/>
      <c r="F24" s="25"/>
      <c r="G24" s="16"/>
      <c r="H24" s="16"/>
      <c r="I24" s="7"/>
      <c r="J24" s="45"/>
      <c r="K24" s="25"/>
      <c r="L24" s="16"/>
      <c r="M24" s="16"/>
      <c r="N24" s="7"/>
      <c r="O24" s="7"/>
      <c r="P24" s="7"/>
      <c r="Q24" s="7"/>
      <c r="R24" s="7"/>
      <c r="S24" s="7"/>
      <c r="T24" s="7"/>
      <c r="U24" s="24"/>
      <c r="V24" s="24"/>
      <c r="W24" s="17" t="s">
        <v>31</v>
      </c>
      <c r="X24" s="44">
        <f>'Unit Fungsi'!P24</f>
        <v>0.47060863016644744</v>
      </c>
      <c r="Y24" s="18" t="s">
        <v>207</v>
      </c>
      <c r="Z24" s="55">
        <f t="shared" si="8"/>
        <v>9.4300000000000004E-4</v>
      </c>
      <c r="AA24" s="56">
        <f t="shared" si="9"/>
        <v>4.4378393824695995E-4</v>
      </c>
      <c r="AB24" s="24"/>
      <c r="AC24" s="16"/>
      <c r="AD24" s="16"/>
      <c r="AE24" s="7"/>
      <c r="AF24" s="7"/>
      <c r="AG24" s="7"/>
      <c r="AH24" s="24"/>
      <c r="AI24" s="24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1:44" ht="14.25" customHeight="1" x14ac:dyDescent="0.3">
      <c r="A25" s="354"/>
      <c r="B25" s="354"/>
      <c r="C25" s="28"/>
      <c r="D25" s="7"/>
      <c r="E25" s="16"/>
      <c r="F25" s="25"/>
      <c r="G25" s="16"/>
      <c r="H25" s="16"/>
      <c r="I25" s="7"/>
      <c r="J25" s="45"/>
      <c r="K25" s="25"/>
      <c r="L25" s="16"/>
      <c r="M25" s="16"/>
      <c r="N25" s="7"/>
      <c r="O25" s="7"/>
      <c r="P25" s="7"/>
      <c r="Q25" s="7"/>
      <c r="R25" s="7"/>
      <c r="S25" s="7"/>
      <c r="T25" s="7"/>
      <c r="U25" s="24"/>
      <c r="V25" s="24"/>
      <c r="W25" s="7"/>
      <c r="X25" s="46"/>
      <c r="Y25" s="25"/>
      <c r="Z25" s="16"/>
      <c r="AA25" s="16"/>
      <c r="AB25" s="24"/>
      <c r="AC25" s="16"/>
      <c r="AD25" s="16"/>
      <c r="AE25" s="7"/>
      <c r="AF25" s="7"/>
      <c r="AG25" s="7"/>
      <c r="AH25" s="24"/>
      <c r="AI25" s="24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1:44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'Unit Fungsi'!E26</f>
        <v>1</v>
      </c>
      <c r="F26" s="18" t="s">
        <v>202</v>
      </c>
      <c r="G26" s="44">
        <f>G22</f>
        <v>2.26E-5</v>
      </c>
      <c r="H26" s="52">
        <f>E26*G26</f>
        <v>2.26E-5</v>
      </c>
      <c r="I26" s="3" t="s">
        <v>22</v>
      </c>
      <c r="J26" s="48">
        <f>'Unit Fungsi'!H26</f>
        <v>0.3662570239060281</v>
      </c>
      <c r="K26" s="18" t="s">
        <v>203</v>
      </c>
      <c r="L26" s="51">
        <f>L4</f>
        <v>6.3500000000000004E-4</v>
      </c>
      <c r="M26" s="52">
        <f>J26*L26</f>
        <v>2.3257321018032786E-4</v>
      </c>
      <c r="N26" s="7"/>
      <c r="O26" s="7"/>
      <c r="P26" s="7"/>
      <c r="Q26" s="7"/>
      <c r="R26" s="7"/>
      <c r="S26" s="7"/>
      <c r="T26" s="7"/>
      <c r="U26" s="24"/>
      <c r="V26" s="24"/>
      <c r="W26" s="8" t="s">
        <v>24</v>
      </c>
      <c r="X26" s="44">
        <f>'Unit Fungsi'!P26</f>
        <v>1.8681105984792374E-3</v>
      </c>
      <c r="Y26" s="20" t="s">
        <v>205</v>
      </c>
      <c r="Z26" s="53">
        <f t="shared" ref="Z26:Z28" si="10">Z4</f>
        <v>2.7099999999999997E-4</v>
      </c>
      <c r="AA26" s="54">
        <f t="shared" ref="AA26:AA28" si="11">X26*Z26</f>
        <v>5.0625797218787332E-7</v>
      </c>
      <c r="AB26" s="17" t="s">
        <v>54</v>
      </c>
      <c r="AC26" s="6">
        <f>'Unit Fungsi'!S26</f>
        <v>1</v>
      </c>
      <c r="AD26" s="6" t="s">
        <v>55</v>
      </c>
      <c r="AE26" s="7"/>
      <c r="AF26" s="7"/>
      <c r="AG26" s="7"/>
      <c r="AH26" s="24"/>
      <c r="AI26" s="24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1:44" ht="14.25" customHeight="1" x14ac:dyDescent="0.3">
      <c r="A27" s="353"/>
      <c r="B27" s="353"/>
      <c r="C27" s="28"/>
      <c r="D27" s="7"/>
      <c r="E27" s="16"/>
      <c r="F27" s="25"/>
      <c r="G27" s="16"/>
      <c r="H27" s="16"/>
      <c r="I27" s="7"/>
      <c r="J27" s="45"/>
      <c r="K27" s="25"/>
      <c r="L27" s="16"/>
      <c r="M27" s="16"/>
      <c r="N27" s="7"/>
      <c r="O27" s="7"/>
      <c r="P27" s="7"/>
      <c r="Q27" s="7"/>
      <c r="R27" s="7"/>
      <c r="S27" s="7"/>
      <c r="T27" s="7"/>
      <c r="U27" s="24"/>
      <c r="V27" s="24"/>
      <c r="W27" s="17" t="s">
        <v>29</v>
      </c>
      <c r="X27" s="44">
        <f>'Unit Fungsi'!P27</f>
        <v>2.8407627288199351E-2</v>
      </c>
      <c r="Y27" s="18" t="s">
        <v>206</v>
      </c>
      <c r="Z27" s="55">
        <f t="shared" si="10"/>
        <v>2.2200000000000002E-3</v>
      </c>
      <c r="AA27" s="56">
        <f t="shared" si="11"/>
        <v>6.3064932579802571E-5</v>
      </c>
      <c r="AB27" s="24"/>
      <c r="AC27" s="16"/>
      <c r="AD27" s="16"/>
      <c r="AE27" s="7"/>
      <c r="AF27" s="7"/>
      <c r="AG27" s="7"/>
      <c r="AH27" s="24"/>
      <c r="AI27" s="24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1:44" ht="14.25" customHeight="1" x14ac:dyDescent="0.3">
      <c r="A28" s="353"/>
      <c r="B28" s="353"/>
      <c r="C28" s="28"/>
      <c r="D28" s="7"/>
      <c r="E28" s="16"/>
      <c r="F28" s="25"/>
      <c r="G28" s="16"/>
      <c r="H28" s="16"/>
      <c r="I28" s="7"/>
      <c r="J28" s="45"/>
      <c r="K28" s="25"/>
      <c r="L28" s="16"/>
      <c r="M28" s="16"/>
      <c r="N28" s="7"/>
      <c r="O28" s="7"/>
      <c r="P28" s="7"/>
      <c r="Q28" s="7"/>
      <c r="R28" s="7"/>
      <c r="S28" s="7"/>
      <c r="T28" s="7"/>
      <c r="U28" s="24"/>
      <c r="V28" s="24"/>
      <c r="W28" s="17" t="s">
        <v>31</v>
      </c>
      <c r="X28" s="44">
        <f>'Unit Fungsi'!P28</f>
        <v>1.1102582238315004</v>
      </c>
      <c r="Y28" s="18" t="s">
        <v>207</v>
      </c>
      <c r="Z28" s="55">
        <f t="shared" si="10"/>
        <v>9.4300000000000004E-4</v>
      </c>
      <c r="AA28" s="56">
        <f t="shared" si="11"/>
        <v>1.046973505073105E-3</v>
      </c>
      <c r="AB28" s="24"/>
      <c r="AC28" s="16"/>
      <c r="AD28" s="16"/>
      <c r="AE28" s="7"/>
      <c r="AF28" s="7"/>
      <c r="AG28" s="7"/>
      <c r="AH28" s="24"/>
      <c r="AI28" s="24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1:44" ht="14.25" customHeight="1" x14ac:dyDescent="0.3">
      <c r="A29" s="354"/>
      <c r="B29" s="354"/>
      <c r="C29" s="28"/>
      <c r="D29" s="7"/>
      <c r="E29" s="16"/>
      <c r="F29" s="25"/>
      <c r="G29" s="16"/>
      <c r="H29" s="16"/>
      <c r="I29" s="7"/>
      <c r="J29" s="45"/>
      <c r="K29" s="25"/>
      <c r="L29" s="16"/>
      <c r="M29" s="16"/>
      <c r="N29" s="7"/>
      <c r="O29" s="7"/>
      <c r="P29" s="7"/>
      <c r="Q29" s="7"/>
      <c r="R29" s="7"/>
      <c r="S29" s="7"/>
      <c r="T29" s="7"/>
      <c r="U29" s="24"/>
      <c r="V29" s="24"/>
      <c r="W29" s="7"/>
      <c r="X29" s="46"/>
      <c r="Y29" s="25"/>
      <c r="Z29" s="16"/>
      <c r="AA29" s="16"/>
      <c r="AB29" s="24"/>
      <c r="AC29" s="16"/>
      <c r="AD29" s="16"/>
      <c r="AE29" s="7"/>
      <c r="AF29" s="7"/>
      <c r="AG29" s="7"/>
      <c r="AH29" s="24"/>
      <c r="AI29" s="24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1:44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'Unit Fungsi'!E30</f>
        <v>1</v>
      </c>
      <c r="F30" s="18" t="s">
        <v>202</v>
      </c>
      <c r="G30" s="44">
        <f>G22</f>
        <v>2.26E-5</v>
      </c>
      <c r="H30" s="52">
        <f>E30*G30</f>
        <v>2.26E-5</v>
      </c>
      <c r="I30" s="5" t="s">
        <v>22</v>
      </c>
      <c r="J30" s="43">
        <f>'Unit Fungsi'!H30</f>
        <v>0.94669558955441135</v>
      </c>
      <c r="K30" s="18" t="s">
        <v>203</v>
      </c>
      <c r="L30" s="44">
        <f>L4</f>
        <v>6.3500000000000004E-4</v>
      </c>
      <c r="M30" s="52">
        <f>J30*L30</f>
        <v>6.0115169936705121E-4</v>
      </c>
      <c r="N30" s="7"/>
      <c r="O30" s="7"/>
      <c r="P30" s="7"/>
      <c r="Q30" s="7"/>
      <c r="R30" s="7"/>
      <c r="S30" s="7"/>
      <c r="T30" s="7"/>
      <c r="U30" s="24"/>
      <c r="V30" s="24"/>
      <c r="W30" s="8" t="s">
        <v>24</v>
      </c>
      <c r="X30" s="44">
        <f>'Unit Fungsi'!P30</f>
        <v>4.828663886139983E-3</v>
      </c>
      <c r="Y30" s="20" t="s">
        <v>205</v>
      </c>
      <c r="Z30" s="53">
        <f t="shared" ref="Z30:Z32" si="12">Z4</f>
        <v>2.7099999999999997E-4</v>
      </c>
      <c r="AA30" s="54">
        <f t="shared" ref="AA30:AA32" si="13">X30*Z30</f>
        <v>1.3085679131439353E-6</v>
      </c>
      <c r="AB30" s="17" t="s">
        <v>54</v>
      </c>
      <c r="AC30" s="6">
        <f>'Unit Fungsi'!S30</f>
        <v>1</v>
      </c>
      <c r="AD30" s="6" t="s">
        <v>55</v>
      </c>
      <c r="AE30" s="7"/>
      <c r="AF30" s="7"/>
      <c r="AG30" s="7"/>
      <c r="AH30" s="24"/>
      <c r="AI30" s="24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1:44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7" t="s">
        <v>29</v>
      </c>
      <c r="X31" s="44">
        <f>'Unit Fungsi'!P31</f>
        <v>7.3427603317019252E-2</v>
      </c>
      <c r="Y31" s="18" t="s">
        <v>206</v>
      </c>
      <c r="Z31" s="55">
        <f t="shared" si="12"/>
        <v>2.2200000000000002E-3</v>
      </c>
      <c r="AA31" s="56">
        <f t="shared" si="13"/>
        <v>1.6300927936378274E-4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1:44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 t="s">
        <v>31</v>
      </c>
      <c r="X32" s="44">
        <f>'Unit Fungsi'!P32</f>
        <v>2.8697785848810766</v>
      </c>
      <c r="Y32" s="18" t="s">
        <v>207</v>
      </c>
      <c r="Z32" s="55">
        <f t="shared" si="12"/>
        <v>9.4300000000000004E-4</v>
      </c>
      <c r="AA32" s="56">
        <f t="shared" si="13"/>
        <v>2.7062012055428554E-3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1:50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1:50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1:50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1:50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1:50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1:50" ht="14.25" customHeight="1" x14ac:dyDescent="0.3">
      <c r="A38" s="354"/>
      <c r="B38" s="354"/>
      <c r="C38" s="29" t="s">
        <v>64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1:50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289">
        <f>'Unit Fungsi'!E39</f>
        <v>1</v>
      </c>
      <c r="F39" s="18" t="s">
        <v>202</v>
      </c>
      <c r="G39" s="18">
        <f>G30</f>
        <v>2.26E-5</v>
      </c>
      <c r="H39" s="60">
        <f>E39*G39</f>
        <v>2.26E-5</v>
      </c>
      <c r="I39" s="284" t="s">
        <v>22</v>
      </c>
      <c r="J39" s="291">
        <f>'Unit Fungsi'!H39</f>
        <v>0.45896578825032147</v>
      </c>
      <c r="K39" s="18" t="s">
        <v>203</v>
      </c>
      <c r="L39" s="55">
        <f>L12</f>
        <v>6.3500000000000004E-4</v>
      </c>
      <c r="M39" s="57">
        <f>J39*L39</f>
        <v>2.9144327553895413E-4</v>
      </c>
      <c r="N39" s="269"/>
      <c r="O39" s="269"/>
      <c r="P39" s="269"/>
      <c r="Q39" s="269"/>
      <c r="R39" s="269"/>
      <c r="S39" s="291">
        <f>'Unit Fungsi'!M39</f>
        <v>21.936256196726596</v>
      </c>
      <c r="T39" s="18" t="s">
        <v>203</v>
      </c>
      <c r="U39" s="293"/>
      <c r="V39" s="293"/>
      <c r="W39" s="277" t="s">
        <v>29</v>
      </c>
      <c r="X39" s="291">
        <f>'Unit Fungsi'!P39</f>
        <v>0.40990362334425118</v>
      </c>
      <c r="Y39" s="18" t="s">
        <v>206</v>
      </c>
      <c r="Z39" s="55">
        <f t="shared" ref="Z39:Z40" si="14">Z13</f>
        <v>2.2200000000000002E-3</v>
      </c>
      <c r="AA39" s="56">
        <f>X39*Z39</f>
        <v>9.0998604382423764E-4</v>
      </c>
      <c r="AB39" s="17" t="s">
        <v>54</v>
      </c>
      <c r="AC39" s="264">
        <f>'Unit Fungsi'!S39</f>
        <v>1</v>
      </c>
      <c r="AD39" s="18" t="s">
        <v>55</v>
      </c>
      <c r="AE39" s="269"/>
      <c r="AF39" s="269"/>
      <c r="AG39" s="269"/>
      <c r="AH39" s="269"/>
      <c r="AI39" s="269"/>
      <c r="AJ39" s="291" t="str">
        <f>'Unit Fungsi'!X39</f>
        <v>Air Limbah</v>
      </c>
      <c r="AK39" s="292">
        <f>'Unit Fungsi'!Y39</f>
        <v>21.936256196726596</v>
      </c>
      <c r="AL39" s="277" t="s">
        <v>200</v>
      </c>
      <c r="AM39" s="292">
        <v>1.35E-2</v>
      </c>
      <c r="AN39" s="300">
        <f>AM39*AK39</f>
        <v>0.29613945865580904</v>
      </c>
      <c r="AO39" s="269"/>
      <c r="AP39" s="269"/>
      <c r="AQ39" s="269"/>
      <c r="AR39" s="277"/>
      <c r="AS39" s="292"/>
      <c r="AT39" s="292"/>
      <c r="AU39" s="288"/>
      <c r="AV39" s="288"/>
      <c r="AW39" s="288"/>
      <c r="AX39" s="287"/>
    </row>
    <row r="40" spans="1:50" s="264" customFormat="1" ht="14.25" customHeight="1" x14ac:dyDescent="0.3">
      <c r="A40" s="347"/>
      <c r="B40" s="350"/>
      <c r="C40" s="268"/>
      <c r="D40" s="284" t="s">
        <v>156</v>
      </c>
      <c r="E40" s="290">
        <f>'Unit Fungsi'!E40</f>
        <v>2.2355685488644349E-6</v>
      </c>
      <c r="F40" s="18" t="s">
        <v>202</v>
      </c>
      <c r="G40" s="293"/>
      <c r="H40" s="293"/>
      <c r="I40" s="284" t="s">
        <v>273</v>
      </c>
      <c r="J40" s="291">
        <f>'Unit Fungsi'!H40</f>
        <v>5.7370723531290184E-2</v>
      </c>
      <c r="K40" s="18" t="s">
        <v>203</v>
      </c>
      <c r="L40" s="55">
        <v>2.2215000000000004E-3</v>
      </c>
      <c r="M40" s="57">
        <f>J40*L40</f>
        <v>1.2744906232476118E-4</v>
      </c>
      <c r="N40" s="269"/>
      <c r="O40" s="269"/>
      <c r="P40" s="269"/>
      <c r="Q40" s="269"/>
      <c r="R40" s="269"/>
      <c r="S40" s="269"/>
      <c r="T40" s="269"/>
      <c r="U40" s="269"/>
      <c r="V40" s="269"/>
      <c r="W40" s="277" t="s">
        <v>31</v>
      </c>
      <c r="X40" s="291">
        <f>'Unit Fungsi'!P40</f>
        <v>0.2834240641956331</v>
      </c>
      <c r="Y40" s="18" t="s">
        <v>207</v>
      </c>
      <c r="Z40" s="55">
        <f t="shared" si="14"/>
        <v>9.4300000000000004E-4</v>
      </c>
      <c r="AA40" s="56">
        <f>X40*Z40</f>
        <v>2.6726889253648204E-4</v>
      </c>
      <c r="AB40" s="269"/>
      <c r="AC40" s="269"/>
      <c r="AD40" s="269"/>
      <c r="AE40" s="282" t="s">
        <v>195</v>
      </c>
      <c r="AF40" s="291">
        <f>'Unit Fungsi'!V40</f>
        <v>2.5277799059977782E-6</v>
      </c>
      <c r="AG40" s="279" t="s">
        <v>202</v>
      </c>
      <c r="AH40" s="298">
        <v>8.7600000000000004E-4</v>
      </c>
      <c r="AI40" s="299">
        <f>AF40*AH40</f>
        <v>2.2143351976540539E-9</v>
      </c>
      <c r="AJ40" s="269"/>
      <c r="AK40" s="269"/>
      <c r="AL40" s="269"/>
      <c r="AM40" s="269"/>
      <c r="AN40" s="269"/>
      <c r="AO40" s="269"/>
      <c r="AP40" s="269"/>
      <c r="AQ40" s="269"/>
      <c r="AR40" s="288"/>
      <c r="AS40" s="288"/>
      <c r="AT40" s="288"/>
      <c r="AU40" s="288"/>
      <c r="AV40" s="288"/>
      <c r="AW40" s="288"/>
      <c r="AX40" s="287"/>
    </row>
    <row r="41" spans="1:50" s="264" customFormat="1" ht="14.25" customHeight="1" x14ac:dyDescent="0.3">
      <c r="A41" s="347"/>
      <c r="B41" s="350"/>
      <c r="C41" s="268"/>
      <c r="D41" s="284" t="s">
        <v>274</v>
      </c>
      <c r="E41" s="290">
        <f>'Unit Fungsi'!E41</f>
        <v>5.6919884053949107E-5</v>
      </c>
      <c r="F41" s="18" t="s">
        <v>202</v>
      </c>
      <c r="G41" s="293"/>
      <c r="H41" s="293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82" t="s">
        <v>275</v>
      </c>
      <c r="AF41" s="291">
        <f>'Unit Fungsi'!V41</f>
        <v>7.9553869134066085E-8</v>
      </c>
      <c r="AG41" s="279" t="s">
        <v>202</v>
      </c>
      <c r="AH41" s="298">
        <v>9.1299999999999997E-4</v>
      </c>
      <c r="AI41" s="299">
        <f t="shared" ref="AI41:AI48" si="15">AF41*AH41</f>
        <v>7.2632682519402329E-11</v>
      </c>
      <c r="AJ41" s="269"/>
      <c r="AK41" s="269"/>
      <c r="AL41" s="269"/>
      <c r="AM41" s="269"/>
      <c r="AN41" s="269"/>
      <c r="AO41" s="269"/>
      <c r="AP41" s="269"/>
      <c r="AQ41" s="269"/>
      <c r="AR41" s="288"/>
      <c r="AS41" s="288"/>
      <c r="AT41" s="288"/>
      <c r="AU41" s="288"/>
      <c r="AV41" s="288"/>
      <c r="AW41" s="288"/>
      <c r="AX41" s="287"/>
    </row>
    <row r="42" spans="1:50" s="264" customFormat="1" ht="14.25" customHeight="1" x14ac:dyDescent="0.3">
      <c r="A42" s="347"/>
      <c r="B42" s="350"/>
      <c r="C42" s="268"/>
      <c r="D42" s="284" t="s">
        <v>126</v>
      </c>
      <c r="E42" s="290">
        <f>'Unit Fungsi'!E42</f>
        <v>6.033037297453697E-5</v>
      </c>
      <c r="F42" s="18" t="s">
        <v>202</v>
      </c>
      <c r="G42" s="293"/>
      <c r="H42" s="293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82" t="s">
        <v>276</v>
      </c>
      <c r="AF42" s="291">
        <f>'Unit Fungsi'!V42</f>
        <v>1.4464339842557471E-6</v>
      </c>
      <c r="AG42" s="279" t="s">
        <v>202</v>
      </c>
      <c r="AH42" s="298">
        <v>1.35E-2</v>
      </c>
      <c r="AI42" s="299">
        <f t="shared" si="15"/>
        <v>1.9526858787452585E-8</v>
      </c>
      <c r="AJ42" s="269"/>
      <c r="AK42" s="269"/>
      <c r="AL42" s="269"/>
      <c r="AM42" s="269"/>
      <c r="AN42" s="269"/>
      <c r="AO42" s="269"/>
      <c r="AP42" s="269"/>
      <c r="AQ42" s="269"/>
      <c r="AR42" s="288"/>
      <c r="AS42" s="288"/>
      <c r="AT42" s="288"/>
      <c r="AU42" s="288"/>
      <c r="AV42" s="288"/>
      <c r="AW42" s="288"/>
      <c r="AX42" s="287"/>
    </row>
    <row r="43" spans="1:50" s="264" customFormat="1" ht="14.25" customHeight="1" x14ac:dyDescent="0.3">
      <c r="A43" s="347"/>
      <c r="B43" s="350"/>
      <c r="C43" s="268"/>
      <c r="D43" s="284" t="s">
        <v>127</v>
      </c>
      <c r="E43" s="290">
        <f>'Unit Fungsi'!E43</f>
        <v>1.9306503372293342E-5</v>
      </c>
      <c r="F43" s="18" t="s">
        <v>202</v>
      </c>
      <c r="G43" s="293"/>
      <c r="H43" s="293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82" t="s">
        <v>277</v>
      </c>
      <c r="AF43" s="291">
        <f>'Unit Fungsi'!V43</f>
        <v>5.6919884053949109E-8</v>
      </c>
      <c r="AG43" s="279" t="s">
        <v>202</v>
      </c>
      <c r="AH43" s="298">
        <v>0</v>
      </c>
      <c r="AI43" s="299">
        <f t="shared" si="15"/>
        <v>0</v>
      </c>
      <c r="AJ43" s="269"/>
      <c r="AK43" s="269"/>
      <c r="AL43" s="269"/>
      <c r="AM43" s="269"/>
      <c r="AN43" s="269"/>
      <c r="AO43" s="269"/>
      <c r="AP43" s="269"/>
      <c r="AQ43" s="269"/>
      <c r="AR43" s="288"/>
      <c r="AS43" s="288"/>
      <c r="AT43" s="288"/>
      <c r="AU43" s="288"/>
      <c r="AV43" s="288"/>
      <c r="AW43" s="288"/>
      <c r="AX43" s="287"/>
    </row>
    <row r="44" spans="1:50" s="264" customFormat="1" ht="14.25" customHeight="1" x14ac:dyDescent="0.3">
      <c r="A44" s="347"/>
      <c r="B44" s="350"/>
      <c r="C44" s="268"/>
      <c r="D44" s="284" t="s">
        <v>128</v>
      </c>
      <c r="E44" s="290">
        <f>'Unit Fungsi'!E44</f>
        <v>3.6902147023324741E-3</v>
      </c>
      <c r="F44" s="18" t="s">
        <v>202</v>
      </c>
      <c r="G44" s="293"/>
      <c r="H44" s="293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82" t="s">
        <v>278</v>
      </c>
      <c r="AF44" s="291">
        <f>'Unit Fungsi'!V44</f>
        <v>6.0330372974536973E-8</v>
      </c>
      <c r="AG44" s="279" t="s">
        <v>202</v>
      </c>
      <c r="AH44" s="298">
        <v>3.19E-6</v>
      </c>
      <c r="AI44" s="299">
        <f t="shared" si="15"/>
        <v>1.9245388978877293E-13</v>
      </c>
      <c r="AJ44" s="269"/>
      <c r="AK44" s="269"/>
      <c r="AL44" s="269"/>
      <c r="AM44" s="269"/>
      <c r="AN44" s="269"/>
      <c r="AO44" s="269"/>
      <c r="AP44" s="269"/>
      <c r="AQ44" s="269"/>
      <c r="AR44" s="288"/>
      <c r="AS44" s="288"/>
      <c r="AT44" s="288"/>
      <c r="AU44" s="288"/>
      <c r="AV44" s="288"/>
      <c r="AW44" s="288"/>
      <c r="AX44" s="287"/>
    </row>
    <row r="45" spans="1:50" s="264" customFormat="1" ht="14.25" customHeight="1" x14ac:dyDescent="0.3">
      <c r="A45" s="347"/>
      <c r="B45" s="350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82" t="s">
        <v>279</v>
      </c>
      <c r="AF45" s="291">
        <f>'Unit Fungsi'!V45</f>
        <v>1.9306503372293343E-8</v>
      </c>
      <c r="AG45" s="279" t="s">
        <v>202</v>
      </c>
      <c r="AH45" s="298">
        <v>1.8800000000000001E-2</v>
      </c>
      <c r="AI45" s="299">
        <f t="shared" si="15"/>
        <v>3.6296226339911488E-10</v>
      </c>
      <c r="AJ45" s="269"/>
      <c r="AK45" s="269"/>
      <c r="AL45" s="269"/>
      <c r="AM45" s="269"/>
      <c r="AN45" s="269"/>
      <c r="AO45" s="269"/>
      <c r="AP45" s="269"/>
      <c r="AQ45" s="269"/>
      <c r="AR45" s="288"/>
      <c r="AS45" s="288"/>
      <c r="AT45" s="288"/>
      <c r="AU45" s="288"/>
      <c r="AV45" s="288"/>
      <c r="AW45" s="288"/>
      <c r="AX45" s="287"/>
    </row>
    <row r="46" spans="1:50" s="264" customFormat="1" ht="14.25" customHeight="1" x14ac:dyDescent="0.3">
      <c r="A46" s="347"/>
      <c r="B46" s="350"/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82" t="s">
        <v>280</v>
      </c>
      <c r="AF46" s="291">
        <f>'Unit Fungsi'!V46</f>
        <v>3.690214702332474E-6</v>
      </c>
      <c r="AG46" s="279" t="s">
        <v>202</v>
      </c>
      <c r="AH46" s="298">
        <v>0.114</v>
      </c>
      <c r="AI46" s="299">
        <f t="shared" si="15"/>
        <v>4.2068447606590204E-7</v>
      </c>
      <c r="AJ46" s="269"/>
      <c r="AK46" s="269"/>
      <c r="AL46" s="269"/>
      <c r="AM46" s="269"/>
      <c r="AN46" s="269"/>
      <c r="AO46" s="269"/>
      <c r="AP46" s="269"/>
      <c r="AQ46" s="269"/>
      <c r="AR46" s="288"/>
      <c r="AS46" s="288"/>
      <c r="AT46" s="288"/>
      <c r="AU46" s="288"/>
      <c r="AV46" s="288"/>
      <c r="AW46" s="288"/>
      <c r="AX46" s="287"/>
    </row>
    <row r="47" spans="1:50" s="264" customFormat="1" ht="14.25" customHeight="1" x14ac:dyDescent="0.3">
      <c r="A47" s="347"/>
      <c r="B47" s="350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82" t="s">
        <v>281</v>
      </c>
      <c r="AF47" s="291">
        <f>'Unit Fungsi'!V47</f>
        <v>3.1188732785514542E-7</v>
      </c>
      <c r="AG47" s="279" t="s">
        <v>202</v>
      </c>
      <c r="AH47" s="298">
        <v>4.5000000000000003E-5</v>
      </c>
      <c r="AI47" s="299">
        <f t="shared" si="15"/>
        <v>1.4034929753481545E-11</v>
      </c>
      <c r="AJ47" s="269"/>
      <c r="AK47" s="269"/>
      <c r="AL47" s="269"/>
      <c r="AM47" s="269"/>
      <c r="AN47" s="269"/>
      <c r="AO47" s="269"/>
      <c r="AP47" s="269"/>
      <c r="AQ47" s="269"/>
      <c r="AR47" s="288"/>
      <c r="AS47" s="288"/>
      <c r="AT47" s="288"/>
      <c r="AU47" s="288"/>
      <c r="AV47" s="288"/>
      <c r="AW47" s="288"/>
      <c r="AX47" s="287"/>
    </row>
    <row r="48" spans="1:50" s="264" customFormat="1" ht="14.25" customHeight="1" x14ac:dyDescent="0.3">
      <c r="A48" s="347"/>
      <c r="B48" s="350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82" t="s">
        <v>282</v>
      </c>
      <c r="AF48" s="291">
        <f>'Unit Fungsi'!V48</f>
        <v>9.2318406988326563E-9</v>
      </c>
      <c r="AG48" s="279" t="s">
        <v>202</v>
      </c>
      <c r="AH48" s="298">
        <v>8.7600000000000004E-4</v>
      </c>
      <c r="AI48" s="299">
        <f t="shared" si="15"/>
        <v>8.0870924521774074E-12</v>
      </c>
      <c r="AJ48" s="269"/>
      <c r="AK48" s="269"/>
      <c r="AL48" s="269"/>
      <c r="AM48" s="269"/>
      <c r="AN48" s="269"/>
      <c r="AO48" s="269"/>
      <c r="AP48" s="269"/>
      <c r="AQ48" s="269"/>
      <c r="AR48" s="288"/>
      <c r="AS48" s="288"/>
      <c r="AT48" s="288"/>
      <c r="AU48" s="288"/>
      <c r="AV48" s="288"/>
      <c r="AW48" s="288"/>
      <c r="AX48" s="287"/>
    </row>
    <row r="49" spans="1:50" s="264" customFormat="1" ht="14.25" customHeight="1" x14ac:dyDescent="0.3">
      <c r="A49" s="348"/>
      <c r="B49" s="351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88"/>
      <c r="AS49" s="288"/>
      <c r="AT49" s="288"/>
      <c r="AU49" s="288"/>
      <c r="AV49" s="288"/>
      <c r="AW49" s="288"/>
      <c r="AX49" s="287"/>
    </row>
    <row r="50" spans="1:50" ht="14.25" customHeight="1" x14ac:dyDescent="0.3"/>
    <row r="51" spans="1:50" ht="14.25" customHeight="1" x14ac:dyDescent="0.35">
      <c r="B51" s="62" t="s">
        <v>98</v>
      </c>
      <c r="D51" s="63" t="s">
        <v>87</v>
      </c>
      <c r="E51" s="64">
        <f>SUM(H4,M4,AA4:AA6)</f>
        <v>1.9080500284301112E-4</v>
      </c>
      <c r="G51" s="381" t="s">
        <v>210</v>
      </c>
      <c r="H51" s="381"/>
      <c r="I51" s="381"/>
      <c r="J51" s="33"/>
    </row>
    <row r="52" spans="1:50" ht="14.25" customHeight="1" x14ac:dyDescent="0.35">
      <c r="B52" s="65">
        <f>SUM(H4,H8,H12,H18,H22,H26,H30,H39,M39,M40,AA39,AA40,AI40,AI41,AI42,AI43,AI44,AI45,AI46,AI47,AI48,AN39,M4,M8,M12,M18,M22,M26,M30,R12:R16,AA4:AA6,AA8:AA10,AA12:AA14,AA18:AA20,AA22:AA24,AA26:AA28,AA30:AA32)</f>
        <v>0.37510242775990826</v>
      </c>
      <c r="D52" s="63" t="s">
        <v>88</v>
      </c>
      <c r="E52" s="64">
        <f>SUM(H8,M8,AA8:AA10)</f>
        <v>1.3650807916634031E-3</v>
      </c>
      <c r="G52" s="195" t="s">
        <v>86</v>
      </c>
      <c r="H52" s="195" t="s">
        <v>211</v>
      </c>
      <c r="I52" s="195" t="s">
        <v>212</v>
      </c>
      <c r="J52" s="33"/>
    </row>
    <row r="53" spans="1:50" ht="14.25" customHeight="1" x14ac:dyDescent="0.35">
      <c r="B53" s="62" t="s">
        <v>99</v>
      </c>
      <c r="D53" s="63" t="s">
        <v>89</v>
      </c>
      <c r="E53" s="64">
        <f>SUM(H12,M12,R12:R16,AA12:AA14)</f>
        <v>3.2872946598580413E-4</v>
      </c>
      <c r="G53" s="198">
        <f>H4</f>
        <v>4.8506132925294315E-9</v>
      </c>
      <c r="H53" s="203">
        <f>(G53/$G$90)*100%</f>
        <v>1.1831174194801544E-7</v>
      </c>
      <c r="I53" s="199"/>
      <c r="J53" s="33"/>
    </row>
    <row r="54" spans="1:50" ht="14.25" customHeight="1" x14ac:dyDescent="0.35">
      <c r="D54" s="63" t="s">
        <v>90</v>
      </c>
      <c r="E54" s="64">
        <f>SUM(H18,M18,AA18:AA20)</f>
        <v>3.372986343503398E-2</v>
      </c>
      <c r="G54" s="198">
        <f>H8</f>
        <v>1.4167967706914869E-5</v>
      </c>
      <c r="H54" s="203">
        <f t="shared" ref="H54:H89" si="16">(G54/$G$90)*100%</f>
        <v>3.4557216545172718E-4</v>
      </c>
      <c r="I54" s="199"/>
    </row>
    <row r="55" spans="1:50" ht="14.25" customHeight="1" x14ac:dyDescent="0.35">
      <c r="D55" s="63" t="s">
        <v>52</v>
      </c>
      <c r="E55" s="64">
        <f>SUM(H22,M22,AA22:AA24)</f>
        <v>3.6869311592776864E-2</v>
      </c>
      <c r="G55" s="199">
        <f>H12</f>
        <v>0</v>
      </c>
      <c r="H55" s="203">
        <f t="shared" si="16"/>
        <v>0</v>
      </c>
      <c r="I55" s="199"/>
    </row>
    <row r="56" spans="1:50" ht="14.25" customHeight="1" x14ac:dyDescent="0.35">
      <c r="D56" s="63" t="s">
        <v>56</v>
      </c>
      <c r="E56" s="64">
        <f>SUM(H26,M26,AA26:AA28)</f>
        <v>1.3657179058054233E-3</v>
      </c>
      <c r="G56" s="199">
        <f>H18</f>
        <v>0</v>
      </c>
      <c r="H56" s="203">
        <f t="shared" si="16"/>
        <v>0</v>
      </c>
      <c r="I56" s="199"/>
    </row>
    <row r="57" spans="1:50" ht="14.25" customHeight="1" x14ac:dyDescent="0.35">
      <c r="D57" s="63" t="s">
        <v>91</v>
      </c>
      <c r="E57" s="64">
        <f>SUM(H30,M30,AA30:AA32)</f>
        <v>3.4942707521868335E-3</v>
      </c>
      <c r="G57" s="198">
        <f>M4</f>
        <v>3.3038800030255474E-5</v>
      </c>
      <c r="H57" s="203">
        <f t="shared" si="16"/>
        <v>8.0585232169957672E-4</v>
      </c>
      <c r="I57" s="199"/>
    </row>
    <row r="58" spans="1:50" ht="14.25" customHeight="1" x14ac:dyDescent="0.35">
      <c r="D58" s="74" t="s">
        <v>272</v>
      </c>
      <c r="E58" s="303">
        <f>SUM(H39,M39,M40,AA39,AA40,AI40,AI41,AI42,AI43,AI44,AI45,AI46,AI47,AI48,AN39)</f>
        <v>0.29775864881361297</v>
      </c>
      <c r="G58" s="198">
        <f>M8</f>
        <v>2.3392297190240015E-4</v>
      </c>
      <c r="H58" s="203">
        <f t="shared" si="16"/>
        <v>5.7056360955539329E-3</v>
      </c>
      <c r="I58" s="199"/>
    </row>
    <row r="59" spans="1:50" ht="14.25" customHeight="1" x14ac:dyDescent="0.3">
      <c r="D59" s="302"/>
      <c r="E59" s="303">
        <f>SUM(E51:E58)</f>
        <v>0.37510242775990832</v>
      </c>
      <c r="G59" s="198">
        <f>M12</f>
        <v>5.6922528435310099E-5</v>
      </c>
      <c r="H59" s="203">
        <f t="shared" si="16"/>
        <v>1.3884024738972977E-3</v>
      </c>
      <c r="I59" s="199"/>
    </row>
    <row r="60" spans="1:50" ht="14.25" customHeight="1" x14ac:dyDescent="0.35">
      <c r="G60" s="205">
        <f>M18</f>
        <v>5.8406358698090089E-3</v>
      </c>
      <c r="H60" s="206">
        <f t="shared" si="16"/>
        <v>0.14245947103336798</v>
      </c>
      <c r="I60" s="207" t="s">
        <v>246</v>
      </c>
      <c r="W60" s="66"/>
      <c r="X60" s="67"/>
      <c r="Y60" s="68"/>
      <c r="Z60" s="68"/>
      <c r="AA60" s="68"/>
      <c r="AB60" s="380"/>
      <c r="AC60" s="367"/>
      <c r="AD60" s="367"/>
    </row>
    <row r="61" spans="1:50" ht="14.25" customHeight="1" x14ac:dyDescent="0.3">
      <c r="G61" s="198">
        <f>M22</f>
        <v>9.8581534914159134E-5</v>
      </c>
      <c r="H61" s="203">
        <f t="shared" si="16"/>
        <v>2.4045110208159312E-3</v>
      </c>
      <c r="I61" s="199"/>
    </row>
    <row r="62" spans="1:50" ht="14.25" customHeight="1" x14ac:dyDescent="0.3">
      <c r="G62" s="198">
        <f>M26</f>
        <v>2.3257321018032786E-4</v>
      </c>
      <c r="H62" s="203">
        <f t="shared" si="16"/>
        <v>5.6727139368654483E-3</v>
      </c>
      <c r="I62" s="199"/>
    </row>
    <row r="63" spans="1:50" ht="14.25" customHeight="1" x14ac:dyDescent="0.3">
      <c r="G63" s="198">
        <f>M30</f>
        <v>6.0115169936705121E-4</v>
      </c>
      <c r="H63" s="203">
        <f t="shared" si="16"/>
        <v>1.4662744778410713E-2</v>
      </c>
      <c r="I63" s="199"/>
    </row>
    <row r="64" spans="1:50" ht="14.25" customHeight="1" x14ac:dyDescent="0.3">
      <c r="G64" s="199">
        <f>R12</f>
        <v>0</v>
      </c>
      <c r="H64" s="203">
        <f t="shared" si="16"/>
        <v>0</v>
      </c>
      <c r="I64" s="199"/>
    </row>
    <row r="65" spans="7:9" ht="14.25" customHeight="1" x14ac:dyDescent="0.3">
      <c r="G65" s="199">
        <f t="shared" ref="G65:G68" si="17">R13</f>
        <v>0</v>
      </c>
      <c r="H65" s="203">
        <f t="shared" si="16"/>
        <v>0</v>
      </c>
      <c r="I65" s="199"/>
    </row>
    <row r="66" spans="7:9" ht="14.25" customHeight="1" x14ac:dyDescent="0.3">
      <c r="G66" s="199">
        <f t="shared" si="17"/>
        <v>0</v>
      </c>
      <c r="H66" s="203">
        <f t="shared" si="16"/>
        <v>0</v>
      </c>
      <c r="I66" s="199"/>
    </row>
    <row r="67" spans="7:9" ht="14.25" customHeight="1" x14ac:dyDescent="0.3">
      <c r="G67" s="199">
        <f t="shared" si="17"/>
        <v>0</v>
      </c>
      <c r="H67" s="203">
        <f t="shared" si="16"/>
        <v>0</v>
      </c>
      <c r="I67" s="199"/>
    </row>
    <row r="68" spans="7:9" ht="14.25" customHeight="1" x14ac:dyDescent="0.3">
      <c r="G68" s="199">
        <f t="shared" si="17"/>
        <v>0</v>
      </c>
      <c r="H68" s="203">
        <f t="shared" si="16"/>
        <v>0</v>
      </c>
      <c r="I68" s="199"/>
    </row>
    <row r="69" spans="7:9" ht="14.25" customHeight="1" x14ac:dyDescent="0.3">
      <c r="G69" s="198">
        <f>AA4</f>
        <v>7.1917809853804742E-8</v>
      </c>
      <c r="H69" s="203">
        <f t="shared" si="16"/>
        <v>1.7541537219621928E-6</v>
      </c>
      <c r="I69" s="199"/>
    </row>
    <row r="70" spans="7:9" ht="14.25" customHeight="1" x14ac:dyDescent="0.3">
      <c r="G70" s="198">
        <f t="shared" ref="G70:G71" si="18">AA5</f>
        <v>8.9588551269946758E-6</v>
      </c>
      <c r="H70" s="203">
        <f t="shared" si="16"/>
        <v>2.1851623537318254E-4</v>
      </c>
      <c r="I70" s="199"/>
    </row>
    <row r="71" spans="7:9" ht="14.25" customHeight="1" x14ac:dyDescent="0.3">
      <c r="G71" s="198">
        <f t="shared" si="18"/>
        <v>1.4873057926261462E-4</v>
      </c>
      <c r="H71" s="203">
        <f t="shared" si="16"/>
        <v>3.6277008395202942E-3</v>
      </c>
      <c r="I71" s="199"/>
    </row>
    <row r="72" spans="7:9" ht="14.25" customHeight="1" x14ac:dyDescent="0.3">
      <c r="G72" s="198">
        <f>AA8</f>
        <v>5.0919609060582574E-7</v>
      </c>
      <c r="H72" s="203">
        <f t="shared" si="16"/>
        <v>1.2419847314045435E-5</v>
      </c>
      <c r="I72" s="199"/>
    </row>
    <row r="73" spans="7:9" ht="14.25" customHeight="1" x14ac:dyDescent="0.3">
      <c r="G73" s="198">
        <f>AA9</f>
        <v>6.3430936178993059E-5</v>
      </c>
      <c r="H73" s="203">
        <f t="shared" si="16"/>
        <v>1.547149628334246E-3</v>
      </c>
      <c r="I73" s="199"/>
    </row>
    <row r="74" spans="7:9" ht="14.25" customHeight="1" x14ac:dyDescent="0.3">
      <c r="G74" s="198">
        <f>AA10</f>
        <v>1.0530497197844891E-3</v>
      </c>
      <c r="H74" s="203">
        <f t="shared" si="16"/>
        <v>2.5685029746125961E-2</v>
      </c>
      <c r="I74" s="199"/>
    </row>
    <row r="75" spans="7:9" ht="14.25" customHeight="1" x14ac:dyDescent="0.3">
      <c r="G75" s="198">
        <f>AA12</f>
        <v>1.2390715076393683E-7</v>
      </c>
      <c r="H75" s="203">
        <f t="shared" si="16"/>
        <v>3.0222303784295727E-6</v>
      </c>
      <c r="I75" s="199"/>
    </row>
    <row r="76" spans="7:9" ht="14.25" customHeight="1" x14ac:dyDescent="0.3">
      <c r="G76" s="198">
        <f>AA13</f>
        <v>1.5435206037966833E-5</v>
      </c>
      <c r="H76" s="203">
        <f t="shared" si="16"/>
        <v>3.7648148874100363E-4</v>
      </c>
      <c r="I76" s="199"/>
    </row>
    <row r="77" spans="7:9" ht="14.25" customHeight="1" x14ac:dyDescent="0.3">
      <c r="G77" s="198">
        <f>AA14</f>
        <v>2.5624782436176323E-4</v>
      </c>
      <c r="H77" s="203">
        <f t="shared" si="16"/>
        <v>6.2501635653622583E-3</v>
      </c>
      <c r="I77" s="199"/>
    </row>
    <row r="78" spans="7:9" ht="14.25" customHeight="1" x14ac:dyDescent="0.3">
      <c r="G78" s="198">
        <f>AA18</f>
        <v>1.2713710532028295E-5</v>
      </c>
      <c r="H78" s="203">
        <f t="shared" si="16"/>
        <v>3.1010124884284847E-4</v>
      </c>
      <c r="I78" s="199"/>
    </row>
    <row r="79" spans="7:9" ht="14.25" customHeight="1" x14ac:dyDescent="0.3">
      <c r="G79" s="198">
        <f>AA19</f>
        <v>1.583756388223245E-3</v>
      </c>
      <c r="H79" s="203">
        <f t="shared" si="16"/>
        <v>3.8629543484856678E-2</v>
      </c>
      <c r="I79" s="199"/>
    </row>
    <row r="80" spans="7:9" ht="14.25" customHeight="1" x14ac:dyDescent="0.3">
      <c r="G80" s="205">
        <f>AA20</f>
        <v>2.62927574664697E-2</v>
      </c>
      <c r="H80" s="206">
        <f t="shared" si="16"/>
        <v>0.64130899514617301</v>
      </c>
      <c r="I80" s="207" t="s">
        <v>245</v>
      </c>
    </row>
    <row r="81" spans="7:9" ht="14.25" customHeight="1" x14ac:dyDescent="0.3">
      <c r="G81" s="198">
        <f>AA22</f>
        <v>2.1458915204426953E-7</v>
      </c>
      <c r="H81" s="203">
        <f t="shared" si="16"/>
        <v>5.2340631690030808E-6</v>
      </c>
      <c r="I81" s="199"/>
    </row>
    <row r="82" spans="7:9" ht="14.25" customHeight="1" x14ac:dyDescent="0.3">
      <c r="G82" s="198">
        <f>AA23</f>
        <v>2.6731530463695527E-5</v>
      </c>
      <c r="H82" s="203">
        <f t="shared" si="16"/>
        <v>6.5201114650123787E-4</v>
      </c>
      <c r="I82" s="199"/>
    </row>
    <row r="83" spans="7:9" ht="14.25" customHeight="1" x14ac:dyDescent="0.3">
      <c r="G83" s="198">
        <f>AA24</f>
        <v>4.4378393824695995E-4</v>
      </c>
      <c r="H83" s="203">
        <f t="shared" si="16"/>
        <v>1.0824373664957495E-2</v>
      </c>
      <c r="I83" s="199"/>
    </row>
    <row r="84" spans="7:9" ht="14.25" customHeight="1" x14ac:dyDescent="0.3">
      <c r="G84" s="198">
        <f>AA26</f>
        <v>5.0625797218787332E-7</v>
      </c>
      <c r="H84" s="203">
        <f t="shared" si="16"/>
        <v>1.2348183405357256E-5</v>
      </c>
      <c r="I84" s="199"/>
    </row>
    <row r="85" spans="7:9" ht="14.25" customHeight="1" x14ac:dyDescent="0.3">
      <c r="G85" s="198">
        <f>AA27</f>
        <v>6.3064932579802571E-5</v>
      </c>
      <c r="H85" s="203">
        <f t="shared" si="16"/>
        <v>1.5382224018645207E-3</v>
      </c>
      <c r="I85" s="199"/>
    </row>
    <row r="86" spans="7:9" ht="14.25" customHeight="1" x14ac:dyDescent="0.3">
      <c r="G86" s="198">
        <f>AA28</f>
        <v>1.046973505073105E-3</v>
      </c>
      <c r="H86" s="203">
        <f t="shared" si="16"/>
        <v>2.5536824250531994E-2</v>
      </c>
      <c r="I86" s="199"/>
    </row>
    <row r="87" spans="7:9" ht="14.25" customHeight="1" x14ac:dyDescent="0.3">
      <c r="G87" s="198">
        <f>AA30</f>
        <v>1.3085679131439353E-6</v>
      </c>
      <c r="H87" s="203">
        <f t="shared" si="16"/>
        <v>3.1917396816559144E-5</v>
      </c>
      <c r="I87" s="199"/>
    </row>
    <row r="88" spans="7:9" ht="14.25" customHeight="1" x14ac:dyDescent="0.3">
      <c r="G88" s="198">
        <f>AA31</f>
        <v>1.6300927936378274E-4</v>
      </c>
      <c r="H88" s="203">
        <f t="shared" si="16"/>
        <v>3.9759738886879746E-3</v>
      </c>
      <c r="I88" s="199"/>
    </row>
    <row r="89" spans="7:9" ht="14.25" customHeight="1" x14ac:dyDescent="0.3">
      <c r="G89" s="205">
        <f>AA32</f>
        <v>2.7062012055428554E-3</v>
      </c>
      <c r="H89" s="206">
        <f t="shared" si="16"/>
        <v>6.6007195251517131E-2</v>
      </c>
      <c r="I89" s="207" t="s">
        <v>247</v>
      </c>
    </row>
    <row r="90" spans="7:9" ht="14.25" customHeight="1" x14ac:dyDescent="0.3">
      <c r="G90" s="208">
        <f>SUM(G53:G89)</f>
        <v>4.0998578946295328E-2</v>
      </c>
      <c r="H90" s="204">
        <f>SUM(H53:H89)</f>
        <v>0.99999999999999967</v>
      </c>
      <c r="I90" s="186"/>
    </row>
    <row r="91" spans="7:9" ht="14.25" customHeight="1" x14ac:dyDescent="0.3"/>
    <row r="92" spans="7:9" ht="14.25" customHeight="1" x14ac:dyDescent="0.3"/>
    <row r="93" spans="7:9" ht="14.25" customHeight="1" x14ac:dyDescent="0.3"/>
    <row r="94" spans="7:9" ht="14.25" customHeight="1" x14ac:dyDescent="0.3"/>
    <row r="95" spans="7:9" ht="14.25" customHeight="1" x14ac:dyDescent="0.3"/>
    <row r="96" spans="7:9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63">
    <mergeCell ref="A39:A49"/>
    <mergeCell ref="B39:B49"/>
    <mergeCell ref="D1:V1"/>
    <mergeCell ref="AH2:AH3"/>
    <mergeCell ref="AI2:AI3"/>
    <mergeCell ref="AG2:AG3"/>
    <mergeCell ref="E2:E3"/>
    <mergeCell ref="F2:F3"/>
    <mergeCell ref="A4:A7"/>
    <mergeCell ref="B4:B7"/>
    <mergeCell ref="A30:A38"/>
    <mergeCell ref="B30:B38"/>
    <mergeCell ref="A12:A17"/>
    <mergeCell ref="A18:A21"/>
    <mergeCell ref="B18:B21"/>
    <mergeCell ref="A22:A25"/>
    <mergeCell ref="AP2:AP3"/>
    <mergeCell ref="AQ2:AQ3"/>
    <mergeCell ref="A1:A3"/>
    <mergeCell ref="B1:B3"/>
    <mergeCell ref="C1:C3"/>
    <mergeCell ref="W1:AQ1"/>
    <mergeCell ref="K2:K3"/>
    <mergeCell ref="L2:L3"/>
    <mergeCell ref="M2:M3"/>
    <mergeCell ref="N2:N3"/>
    <mergeCell ref="O2:O3"/>
    <mergeCell ref="P2:P3"/>
    <mergeCell ref="Q2:Q3"/>
    <mergeCell ref="AF2:AF3"/>
    <mergeCell ref="AR1:AR3"/>
    <mergeCell ref="D2:D3"/>
    <mergeCell ref="X2:X3"/>
    <mergeCell ref="Y2:Y3"/>
    <mergeCell ref="Z2:Z3"/>
    <mergeCell ref="AA2:AA3"/>
    <mergeCell ref="AB2:AB3"/>
    <mergeCell ref="AC2:AC3"/>
    <mergeCell ref="AJ2:AJ3"/>
    <mergeCell ref="AK2:AK3"/>
    <mergeCell ref="AL2:AL3"/>
    <mergeCell ref="AO2:AO3"/>
    <mergeCell ref="G2:G3"/>
    <mergeCell ref="H2:H3"/>
    <mergeCell ref="AM2:AM3"/>
    <mergeCell ref="AN2:AN3"/>
    <mergeCell ref="AB60:AD60"/>
    <mergeCell ref="AD2:AD3"/>
    <mergeCell ref="AE2:AE3"/>
    <mergeCell ref="I2:I3"/>
    <mergeCell ref="J2:J3"/>
    <mergeCell ref="S2:T2"/>
    <mergeCell ref="W2:W3"/>
    <mergeCell ref="G51:I51"/>
    <mergeCell ref="R2:R3"/>
    <mergeCell ref="U2:U3"/>
    <mergeCell ref="V2:V3"/>
    <mergeCell ref="B22:B25"/>
    <mergeCell ref="A26:A29"/>
    <mergeCell ref="B26:B29"/>
    <mergeCell ref="A8:A11"/>
    <mergeCell ref="B8:B11"/>
    <mergeCell ref="B12:B17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A86E8"/>
  </sheetPr>
  <dimension ref="A1:AC990"/>
  <sheetViews>
    <sheetView topLeftCell="H10" zoomScale="70" zoomScaleNormal="70" workbookViewId="0">
      <selection activeCell="A22" sqref="A22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3" width="10.83203125" customWidth="1"/>
    <col min="4" max="4" width="9.25" customWidth="1"/>
    <col min="5" max="5" width="7.58203125" customWidth="1"/>
    <col min="6" max="6" width="12.83203125" customWidth="1"/>
    <col min="7" max="7" width="9.75" customWidth="1"/>
    <col min="8" max="9" width="7.58203125" customWidth="1"/>
    <col min="10" max="10" width="12.08203125" customWidth="1"/>
    <col min="11" max="11" width="7.58203125" customWidth="1"/>
    <col min="12" max="12" width="10.83203125" customWidth="1"/>
    <col min="13" max="13" width="7.58203125" customWidth="1"/>
    <col min="14" max="14" width="12.5" customWidth="1"/>
    <col min="15" max="15" width="11.08203125" customWidth="1"/>
    <col min="16" max="16" width="9" customWidth="1"/>
    <col min="17" max="17" width="13.5" customWidth="1"/>
    <col min="18" max="18" width="8" customWidth="1"/>
    <col min="19" max="19" width="7.58203125" customWidth="1"/>
    <col min="20" max="20" width="18.75" customWidth="1"/>
    <col min="21" max="21" width="10.33203125" customWidth="1"/>
    <col min="22" max="22" width="7.58203125" customWidth="1"/>
    <col min="23" max="23" width="10.75" customWidth="1"/>
    <col min="24" max="24" width="14.83203125" customWidth="1"/>
    <col min="25" max="25" width="7.58203125" customWidth="1"/>
    <col min="26" max="26" width="21.33203125" customWidth="1"/>
    <col min="27" max="27" width="8.33203125" customWidth="1"/>
    <col min="28" max="28" width="7.58203125" customWidth="1"/>
    <col min="29" max="29" width="16.58203125" customWidth="1"/>
  </cols>
  <sheetData>
    <row r="1" spans="1:29" ht="14.25" customHeight="1" x14ac:dyDescent="0.3">
      <c r="A1" s="388" t="s">
        <v>0</v>
      </c>
      <c r="B1" s="391" t="s">
        <v>104</v>
      </c>
      <c r="C1" s="392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2"/>
      <c r="N1" s="393" t="s">
        <v>4</v>
      </c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2"/>
      <c r="AC1" s="386" t="s">
        <v>5</v>
      </c>
    </row>
    <row r="2" spans="1:29" ht="14.25" customHeight="1" x14ac:dyDescent="0.3">
      <c r="A2" s="389"/>
      <c r="B2" s="353"/>
      <c r="C2" s="387" t="s">
        <v>6</v>
      </c>
      <c r="D2" s="387" t="s">
        <v>7</v>
      </c>
      <c r="E2" s="387" t="s">
        <v>8</v>
      </c>
      <c r="F2" s="387" t="s">
        <v>9</v>
      </c>
      <c r="G2" s="387" t="s">
        <v>7</v>
      </c>
      <c r="H2" s="387" t="s">
        <v>8</v>
      </c>
      <c r="I2" s="387" t="s">
        <v>105</v>
      </c>
      <c r="J2" s="387" t="s">
        <v>7</v>
      </c>
      <c r="K2" s="387" t="s">
        <v>8</v>
      </c>
      <c r="L2" s="394" t="s">
        <v>11</v>
      </c>
      <c r="M2" s="372"/>
      <c r="N2" s="385" t="s">
        <v>12</v>
      </c>
      <c r="O2" s="385" t="s">
        <v>7</v>
      </c>
      <c r="P2" s="385" t="s">
        <v>8</v>
      </c>
      <c r="Q2" s="385" t="s">
        <v>13</v>
      </c>
      <c r="R2" s="385" t="s">
        <v>7</v>
      </c>
      <c r="S2" s="385" t="s">
        <v>8</v>
      </c>
      <c r="T2" s="385" t="s">
        <v>14</v>
      </c>
      <c r="U2" s="385" t="s">
        <v>7</v>
      </c>
      <c r="V2" s="385" t="s">
        <v>8</v>
      </c>
      <c r="W2" s="385" t="s">
        <v>15</v>
      </c>
      <c r="X2" s="385" t="s">
        <v>7</v>
      </c>
      <c r="Y2" s="385" t="s">
        <v>8</v>
      </c>
      <c r="Z2" s="385" t="s">
        <v>16</v>
      </c>
      <c r="AA2" s="385" t="s">
        <v>7</v>
      </c>
      <c r="AB2" s="385" t="s">
        <v>8</v>
      </c>
      <c r="AC2" s="353"/>
    </row>
    <row r="3" spans="1:29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75" t="s">
        <v>17</v>
      </c>
      <c r="M3" s="75" t="s">
        <v>8</v>
      </c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</row>
    <row r="4" spans="1:29" ht="14.25" customHeight="1" x14ac:dyDescent="0.3">
      <c r="A4" s="187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29" ht="14.25" customHeight="1" x14ac:dyDescent="0.3">
      <c r="A5" s="79"/>
      <c r="B5" s="79" t="s">
        <v>106</v>
      </c>
      <c r="C5" s="80" t="s">
        <v>107</v>
      </c>
      <c r="D5" s="81">
        <f>42+249.16+46.77+65.84</f>
        <v>403.77</v>
      </c>
      <c r="E5" s="125" t="s">
        <v>21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29" ht="14.25" customHeight="1" x14ac:dyDescent="0.3">
      <c r="A6" s="79"/>
      <c r="B6" s="79" t="s">
        <v>108</v>
      </c>
      <c r="C6" s="80" t="s">
        <v>109</v>
      </c>
      <c r="D6" s="82">
        <f>(65.84+46.77)*625</f>
        <v>70381.250000000015</v>
      </c>
      <c r="E6" s="125" t="s">
        <v>110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0" t="s">
        <v>111</v>
      </c>
      <c r="R6" s="82">
        <f>D6</f>
        <v>70381.250000000015</v>
      </c>
      <c r="S6" s="125" t="s">
        <v>110</v>
      </c>
      <c r="T6" s="78"/>
      <c r="U6" s="78"/>
      <c r="V6" s="78"/>
      <c r="W6" s="78"/>
      <c r="X6" s="78"/>
      <c r="Y6" s="78"/>
      <c r="Z6" s="80" t="s">
        <v>112</v>
      </c>
      <c r="AA6" s="83">
        <f>R6*(20/1000000)</f>
        <v>1.4076250000000003</v>
      </c>
      <c r="AB6" s="125" t="s">
        <v>55</v>
      </c>
      <c r="AC6" s="79"/>
    </row>
    <row r="7" spans="1:29" ht="14.25" customHeight="1" x14ac:dyDescent="0.3">
      <c r="A7" s="79"/>
      <c r="B7" s="79"/>
      <c r="C7" s="80" t="s">
        <v>113</v>
      </c>
      <c r="D7" s="83">
        <f>(D6*2)/1000</f>
        <v>140.76250000000002</v>
      </c>
      <c r="E7" s="125" t="s">
        <v>55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84"/>
      <c r="AB7" s="85"/>
      <c r="AC7" s="79"/>
    </row>
    <row r="8" spans="1:29" ht="14.25" customHeight="1" x14ac:dyDescent="0.3">
      <c r="A8" s="79"/>
      <c r="B8" s="79" t="s">
        <v>114</v>
      </c>
      <c r="C8" s="78"/>
      <c r="D8" s="85"/>
      <c r="E8" s="85"/>
      <c r="F8" s="80" t="s">
        <v>22</v>
      </c>
      <c r="G8" s="86">
        <f>(1*2000*12)+(1/3*1000*12)</f>
        <v>28000</v>
      </c>
      <c r="H8" s="188" t="s">
        <v>23</v>
      </c>
      <c r="I8" s="78"/>
      <c r="J8" s="78"/>
      <c r="K8" s="78"/>
      <c r="L8" s="78"/>
      <c r="M8" s="78"/>
      <c r="N8" s="87" t="s">
        <v>24</v>
      </c>
      <c r="O8" s="88">
        <f t="shared" ref="O8:O9" si="0">($G$8*$J$40)*K33</f>
        <v>0.12567744</v>
      </c>
      <c r="P8" s="9" t="s">
        <v>25</v>
      </c>
      <c r="Q8" s="78"/>
      <c r="R8" s="78"/>
      <c r="S8" s="78"/>
      <c r="T8" s="78"/>
      <c r="U8" s="78"/>
      <c r="V8" s="78"/>
      <c r="W8" s="78"/>
      <c r="X8" s="78"/>
      <c r="Y8" s="78"/>
      <c r="Z8" s="78"/>
      <c r="AA8" s="84"/>
      <c r="AB8" s="85"/>
      <c r="AC8" s="79"/>
    </row>
    <row r="9" spans="1:29" ht="14.25" customHeight="1" x14ac:dyDescent="0.3">
      <c r="A9" s="76"/>
      <c r="B9" s="79"/>
      <c r="C9" s="78"/>
      <c r="D9" s="85"/>
      <c r="E9" s="85"/>
      <c r="F9" s="78"/>
      <c r="G9" s="85"/>
      <c r="H9" s="85"/>
      <c r="I9" s="78"/>
      <c r="J9" s="89"/>
      <c r="K9" s="78"/>
      <c r="L9" s="78"/>
      <c r="M9" s="78"/>
      <c r="N9" s="87" t="s">
        <v>29</v>
      </c>
      <c r="O9" s="88">
        <f t="shared" si="0"/>
        <v>1.9111276800000001</v>
      </c>
      <c r="P9" s="18" t="s">
        <v>30</v>
      </c>
      <c r="Q9" s="78"/>
      <c r="R9" s="78"/>
      <c r="S9" s="78"/>
      <c r="T9" s="78"/>
      <c r="U9" s="78"/>
      <c r="V9" s="78"/>
      <c r="W9" s="78"/>
      <c r="X9" s="78"/>
      <c r="Y9" s="78"/>
      <c r="Z9" s="90"/>
      <c r="AA9" s="91"/>
      <c r="AB9" s="191"/>
      <c r="AC9" s="79"/>
    </row>
    <row r="10" spans="1:29" ht="14.25" customHeight="1" x14ac:dyDescent="0.3">
      <c r="A10" s="76"/>
      <c r="B10" s="79"/>
      <c r="C10" s="78"/>
      <c r="D10" s="85"/>
      <c r="E10" s="85"/>
      <c r="F10" s="78"/>
      <c r="G10" s="85"/>
      <c r="H10" s="85"/>
      <c r="I10" s="78"/>
      <c r="J10" s="89"/>
      <c r="K10" s="78"/>
      <c r="L10" s="78"/>
      <c r="M10" s="78"/>
      <c r="N10" s="87" t="s">
        <v>31</v>
      </c>
      <c r="O10" s="88">
        <f>($G$8*$J$40)*K36</f>
        <v>74.692799999999991</v>
      </c>
      <c r="P10" s="18" t="s">
        <v>32</v>
      </c>
      <c r="Q10" s="78"/>
      <c r="R10" s="78"/>
      <c r="S10" s="78"/>
      <c r="T10" s="78"/>
      <c r="U10" s="78"/>
      <c r="V10" s="78"/>
      <c r="W10" s="78"/>
      <c r="X10" s="78"/>
      <c r="Y10" s="78"/>
      <c r="Z10" s="90"/>
      <c r="AA10" s="91"/>
      <c r="AB10" s="191"/>
      <c r="AC10" s="79"/>
    </row>
    <row r="11" spans="1:29" ht="14.25" customHeight="1" x14ac:dyDescent="0.3">
      <c r="A11" s="76"/>
      <c r="B11" s="79"/>
      <c r="C11" s="78"/>
      <c r="D11" s="85"/>
      <c r="E11" s="85"/>
      <c r="F11" s="78"/>
      <c r="G11" s="85"/>
      <c r="H11" s="85"/>
      <c r="I11" s="78"/>
      <c r="J11" s="89"/>
      <c r="K11" s="78"/>
      <c r="L11" s="78"/>
      <c r="M11" s="78"/>
      <c r="N11" s="78"/>
      <c r="O11" s="93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90"/>
      <c r="AA11" s="91"/>
      <c r="AB11" s="191"/>
      <c r="AC11" s="79"/>
    </row>
    <row r="12" spans="1:29" ht="14.25" customHeight="1" x14ac:dyDescent="0.3">
      <c r="A12" s="76"/>
      <c r="B12" s="79"/>
      <c r="C12" s="78"/>
      <c r="D12" s="85"/>
      <c r="E12" s="85"/>
      <c r="F12" s="78"/>
      <c r="G12" s="85"/>
      <c r="H12" s="85"/>
      <c r="I12" s="78"/>
      <c r="J12" s="89"/>
      <c r="K12" s="78"/>
      <c r="L12" s="78"/>
      <c r="M12" s="78"/>
      <c r="N12" s="78"/>
      <c r="O12" s="93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90"/>
      <c r="AA12" s="91"/>
      <c r="AB12" s="191"/>
      <c r="AC12" s="79"/>
    </row>
    <row r="13" spans="1:29" ht="14.25" customHeight="1" x14ac:dyDescent="0.3">
      <c r="A13" s="187">
        <v>2</v>
      </c>
      <c r="B13" s="77" t="s">
        <v>101</v>
      </c>
      <c r="C13" s="78"/>
      <c r="D13" s="85"/>
      <c r="E13" s="85"/>
      <c r="F13" s="80" t="s">
        <v>22</v>
      </c>
      <c r="G13" s="86">
        <f>(2000*12*2)+((1/3*1000*12)*2)+(100*12)</f>
        <v>57200</v>
      </c>
      <c r="H13" s="188" t="s">
        <v>23</v>
      </c>
      <c r="I13" s="80" t="s">
        <v>115</v>
      </c>
      <c r="J13" s="94">
        <v>197005</v>
      </c>
      <c r="K13" s="125" t="s">
        <v>42</v>
      </c>
      <c r="L13" s="78"/>
      <c r="M13" s="78"/>
      <c r="N13" s="87" t="s">
        <v>24</v>
      </c>
      <c r="O13" s="88">
        <f t="shared" ref="O13:O14" si="1">($G$13*$J$40)*K33</f>
        <v>0.25674105600000002</v>
      </c>
      <c r="P13" s="9" t="s">
        <v>25</v>
      </c>
      <c r="Q13" s="78"/>
      <c r="R13" s="78"/>
      <c r="S13" s="78"/>
      <c r="T13" s="78"/>
      <c r="U13" s="78"/>
      <c r="V13" s="78"/>
      <c r="W13" s="80" t="s">
        <v>116</v>
      </c>
      <c r="X13" s="94">
        <f>13395411.9080281/1000</f>
        <v>13395.4119080281</v>
      </c>
      <c r="Y13" s="188" t="s">
        <v>35</v>
      </c>
      <c r="Z13" s="95" t="s">
        <v>117</v>
      </c>
      <c r="AA13" s="96">
        <f t="shared" ref="AA13:AA14" si="2">(J13/25)*(50/1000000)</f>
        <v>0.39401000000000003</v>
      </c>
      <c r="AB13" s="114" t="s">
        <v>55</v>
      </c>
      <c r="AC13" s="79"/>
    </row>
    <row r="14" spans="1:29" ht="14.25" customHeight="1" x14ac:dyDescent="0.3">
      <c r="A14" s="79"/>
      <c r="B14" s="79"/>
      <c r="C14" s="78"/>
      <c r="D14" s="85"/>
      <c r="E14" s="85"/>
      <c r="F14" s="78"/>
      <c r="G14" s="85"/>
      <c r="H14" s="85"/>
      <c r="I14" s="80" t="s">
        <v>118</v>
      </c>
      <c r="J14" s="94">
        <v>72425</v>
      </c>
      <c r="K14" s="125" t="s">
        <v>42</v>
      </c>
      <c r="L14" s="78"/>
      <c r="M14" s="78"/>
      <c r="N14" s="87" t="s">
        <v>29</v>
      </c>
      <c r="O14" s="88">
        <f t="shared" si="1"/>
        <v>3.9041608320000005</v>
      </c>
      <c r="P14" s="18" t="s">
        <v>30</v>
      </c>
      <c r="Q14" s="78"/>
      <c r="R14" s="78"/>
      <c r="S14" s="78"/>
      <c r="T14" s="78"/>
      <c r="U14" s="78"/>
      <c r="V14" s="78"/>
      <c r="W14" s="80" t="s">
        <v>119</v>
      </c>
      <c r="X14" s="94">
        <f>(18*X13)</f>
        <v>241117.41434450579</v>
      </c>
      <c r="Y14" s="188" t="s">
        <v>120</v>
      </c>
      <c r="Z14" s="95" t="s">
        <v>121</v>
      </c>
      <c r="AA14" s="96">
        <f t="shared" si="2"/>
        <v>0.14485000000000001</v>
      </c>
      <c r="AB14" s="114" t="s">
        <v>55</v>
      </c>
      <c r="AC14" s="79"/>
    </row>
    <row r="15" spans="1:29" ht="14.25" customHeight="1" x14ac:dyDescent="0.3">
      <c r="A15" s="79"/>
      <c r="B15" s="79"/>
      <c r="C15" s="78"/>
      <c r="D15" s="85"/>
      <c r="E15" s="85"/>
      <c r="F15" s="78"/>
      <c r="G15" s="85"/>
      <c r="H15" s="85"/>
      <c r="I15" s="78"/>
      <c r="J15" s="78"/>
      <c r="K15" s="78"/>
      <c r="L15" s="78"/>
      <c r="M15" s="78"/>
      <c r="N15" s="87" t="s">
        <v>31</v>
      </c>
      <c r="O15" s="88">
        <f>($G$13*$J$40)*K36</f>
        <v>152.58671999999999</v>
      </c>
      <c r="P15" s="18" t="s">
        <v>32</v>
      </c>
      <c r="Q15" s="78"/>
      <c r="R15" s="78"/>
      <c r="S15" s="78"/>
      <c r="T15" s="78"/>
      <c r="U15" s="78"/>
      <c r="V15" s="78"/>
      <c r="W15" s="80" t="s">
        <v>122</v>
      </c>
      <c r="X15" s="94">
        <f>(0.02*X13)</f>
        <v>267.90823816056201</v>
      </c>
      <c r="Y15" s="188" t="s">
        <v>120</v>
      </c>
      <c r="Z15" s="78"/>
      <c r="AA15" s="97"/>
      <c r="AB15" s="78"/>
      <c r="AC15" s="79"/>
    </row>
    <row r="16" spans="1:29" ht="14.25" customHeight="1" x14ac:dyDescent="0.3">
      <c r="A16" s="98"/>
      <c r="B16" s="98"/>
      <c r="C16" s="84"/>
      <c r="D16" s="99"/>
      <c r="E16" s="99"/>
      <c r="F16" s="84"/>
      <c r="G16" s="99"/>
      <c r="H16" s="99"/>
      <c r="I16" s="84"/>
      <c r="J16" s="84"/>
      <c r="K16" s="84"/>
      <c r="L16" s="84"/>
      <c r="M16" s="84"/>
      <c r="N16" s="84"/>
      <c r="O16" s="100"/>
      <c r="P16" s="84"/>
      <c r="Q16" s="84"/>
      <c r="R16" s="84"/>
      <c r="S16" s="84"/>
      <c r="T16" s="84"/>
      <c r="U16" s="84"/>
      <c r="V16" s="84"/>
      <c r="W16" s="101" t="s">
        <v>123</v>
      </c>
      <c r="X16" s="102">
        <f>(0.9*X13)</f>
        <v>12055.870717225291</v>
      </c>
      <c r="Y16" s="192" t="s">
        <v>120</v>
      </c>
      <c r="Z16" s="84"/>
      <c r="AA16" s="84"/>
      <c r="AB16" s="84"/>
      <c r="AC16" s="98"/>
    </row>
    <row r="17" spans="1:29" ht="12.75" customHeight="1" x14ac:dyDescent="0.3">
      <c r="A17" s="103"/>
      <c r="B17" s="98"/>
      <c r="C17" s="84"/>
      <c r="D17" s="99"/>
      <c r="E17" s="99"/>
      <c r="F17" s="84"/>
      <c r="G17" s="99"/>
      <c r="H17" s="99"/>
      <c r="I17" s="84"/>
      <c r="J17" s="84"/>
      <c r="K17" s="84"/>
      <c r="L17" s="84"/>
      <c r="M17" s="84"/>
      <c r="N17" s="84"/>
      <c r="O17" s="100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98"/>
    </row>
    <row r="18" spans="1:29" ht="12.75" customHeight="1" x14ac:dyDescent="0.3">
      <c r="A18" s="187">
        <v>3</v>
      </c>
      <c r="B18" s="104" t="s">
        <v>102</v>
      </c>
      <c r="C18" s="78"/>
      <c r="D18" s="85"/>
      <c r="E18" s="85"/>
      <c r="F18" s="79" t="s">
        <v>22</v>
      </c>
      <c r="G18" s="76">
        <v>9289140</v>
      </c>
      <c r="H18" s="189" t="s">
        <v>23</v>
      </c>
      <c r="I18" s="78"/>
      <c r="J18" s="78"/>
      <c r="K18" s="78"/>
      <c r="L18" s="105">
        <v>2731.68</v>
      </c>
      <c r="M18" s="190" t="s">
        <v>35</v>
      </c>
      <c r="N18" s="87" t="s">
        <v>24</v>
      </c>
      <c r="O18" s="106">
        <f t="shared" ref="O18:O19" si="3">($G$18*$J$40)*K33</f>
        <v>41.694119107200002</v>
      </c>
      <c r="P18" s="9" t="s">
        <v>25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9"/>
    </row>
    <row r="19" spans="1:29" ht="14.25" customHeight="1" x14ac:dyDescent="0.3">
      <c r="A19" s="79"/>
      <c r="B19" s="79"/>
      <c r="C19" s="78"/>
      <c r="D19" s="85"/>
      <c r="E19" s="85"/>
      <c r="F19" s="78"/>
      <c r="G19" s="107"/>
      <c r="H19" s="78"/>
      <c r="I19" s="78"/>
      <c r="J19" s="78"/>
      <c r="K19" s="78"/>
      <c r="L19" s="78"/>
      <c r="M19" s="78"/>
      <c r="N19" s="87" t="s">
        <v>29</v>
      </c>
      <c r="O19" s="106">
        <f t="shared" si="3"/>
        <v>634.02616347840001</v>
      </c>
      <c r="P19" s="18" t="s">
        <v>30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9"/>
    </row>
    <row r="20" spans="1:29" ht="14.25" customHeight="1" x14ac:dyDescent="0.3">
      <c r="A20" s="79"/>
      <c r="B20" s="79"/>
      <c r="C20" s="78"/>
      <c r="D20" s="85"/>
      <c r="E20" s="85"/>
      <c r="F20" s="78"/>
      <c r="G20" s="107"/>
      <c r="H20" s="78"/>
      <c r="I20" s="78"/>
      <c r="J20" s="78"/>
      <c r="K20" s="78"/>
      <c r="L20" s="78"/>
      <c r="M20" s="78"/>
      <c r="N20" s="87" t="s">
        <v>31</v>
      </c>
      <c r="O20" s="106">
        <f>($G$18*$J$40)*K36</f>
        <v>24779.709863999997</v>
      </c>
      <c r="P20" s="18" t="s">
        <v>32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9"/>
    </row>
    <row r="21" spans="1:29" ht="14.25" customHeight="1" x14ac:dyDescent="0.3">
      <c r="A21" s="79"/>
      <c r="B21" s="79"/>
      <c r="C21" s="78"/>
      <c r="D21" s="85"/>
      <c r="E21" s="85"/>
      <c r="F21" s="78"/>
      <c r="G21" s="107"/>
      <c r="H21" s="78"/>
      <c r="I21" s="78"/>
      <c r="J21" s="78"/>
      <c r="K21" s="78"/>
      <c r="L21" s="78"/>
      <c r="M21" s="78"/>
      <c r="N21" s="78"/>
      <c r="O21" s="85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1:29" ht="14.25" customHeight="1" x14ac:dyDescent="0.3">
      <c r="A22" s="187">
        <v>4</v>
      </c>
      <c r="B22" s="77" t="s">
        <v>103</v>
      </c>
      <c r="C22" s="80" t="s">
        <v>124</v>
      </c>
      <c r="D22" s="86">
        <f>U22+107.52</f>
        <v>896.52</v>
      </c>
      <c r="E22" s="125" t="s">
        <v>55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80" t="s">
        <v>124</v>
      </c>
      <c r="U22" s="86">
        <v>789</v>
      </c>
      <c r="V22" s="125" t="s">
        <v>55</v>
      </c>
      <c r="W22" s="78"/>
      <c r="X22" s="78"/>
      <c r="Y22" s="78"/>
      <c r="Z22" s="78"/>
      <c r="AA22" s="78"/>
      <c r="AB22" s="78"/>
      <c r="AC22" s="79"/>
    </row>
    <row r="23" spans="1:29" ht="14.25" customHeight="1" x14ac:dyDescent="0.3">
      <c r="A23" s="79"/>
      <c r="B23" s="79"/>
      <c r="C23" s="108" t="s">
        <v>125</v>
      </c>
      <c r="D23" s="86">
        <v>8.7799999999999994</v>
      </c>
      <c r="E23" s="125" t="s">
        <v>55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8" t="s">
        <v>125</v>
      </c>
      <c r="U23" s="96">
        <f t="shared" ref="U23:U28" si="4">D23</f>
        <v>8.7799999999999994</v>
      </c>
      <c r="V23" s="125" t="s">
        <v>55</v>
      </c>
      <c r="W23" s="78"/>
      <c r="X23" s="78"/>
      <c r="Y23" s="78"/>
      <c r="Z23" s="78"/>
      <c r="AA23" s="78"/>
      <c r="AB23" s="78"/>
      <c r="AC23" s="79"/>
    </row>
    <row r="24" spans="1:29" ht="14.25" customHeight="1" x14ac:dyDescent="0.3">
      <c r="A24" s="79"/>
      <c r="B24" s="79"/>
      <c r="C24" s="108" t="s">
        <v>126</v>
      </c>
      <c r="D24" s="86">
        <v>97.720000000000013</v>
      </c>
      <c r="E24" s="125" t="s">
        <v>55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8" t="s">
        <v>126</v>
      </c>
      <c r="U24" s="86">
        <f t="shared" si="4"/>
        <v>97.720000000000013</v>
      </c>
      <c r="V24" s="125" t="s">
        <v>55</v>
      </c>
      <c r="W24" s="78"/>
      <c r="X24" s="78"/>
      <c r="Y24" s="78"/>
      <c r="Z24" s="78"/>
      <c r="AA24" s="78"/>
      <c r="AB24" s="78"/>
      <c r="AC24" s="79"/>
    </row>
    <row r="25" spans="1:29" ht="14.25" customHeight="1" x14ac:dyDescent="0.3">
      <c r="A25" s="79"/>
      <c r="B25" s="79"/>
      <c r="C25" s="80" t="s">
        <v>127</v>
      </c>
      <c r="D25" s="86">
        <v>17.400000000000009</v>
      </c>
      <c r="E25" s="125" t="s">
        <v>55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80" t="s">
        <v>127</v>
      </c>
      <c r="U25" s="86">
        <f t="shared" si="4"/>
        <v>17.400000000000009</v>
      </c>
      <c r="V25" s="125" t="s">
        <v>55</v>
      </c>
      <c r="W25" s="78"/>
      <c r="X25" s="78"/>
      <c r="Y25" s="78"/>
      <c r="Z25" s="78"/>
      <c r="AA25" s="78"/>
      <c r="AB25" s="78"/>
      <c r="AC25" s="79"/>
    </row>
    <row r="26" spans="1:29" ht="14.25" customHeight="1" x14ac:dyDescent="0.3">
      <c r="A26" s="79"/>
      <c r="B26" s="79"/>
      <c r="C26" s="108" t="s">
        <v>128</v>
      </c>
      <c r="D26" s="86">
        <v>18.559999999999995</v>
      </c>
      <c r="E26" s="125" t="s">
        <v>55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8" t="s">
        <v>128</v>
      </c>
      <c r="U26" s="86">
        <f t="shared" si="4"/>
        <v>18.559999999999995</v>
      </c>
      <c r="V26" s="125" t="s">
        <v>55</v>
      </c>
      <c r="W26" s="78"/>
      <c r="X26" s="78"/>
      <c r="Y26" s="78"/>
      <c r="Z26" s="78"/>
      <c r="AA26" s="78"/>
      <c r="AB26" s="78"/>
      <c r="AC26" s="79"/>
    </row>
    <row r="27" spans="1:29" ht="14.25" customHeight="1" x14ac:dyDescent="0.3">
      <c r="A27" s="79"/>
      <c r="B27" s="79"/>
      <c r="C27" s="108" t="s">
        <v>129</v>
      </c>
      <c r="D27" s="86">
        <v>48.59988000000002</v>
      </c>
      <c r="E27" s="125" t="s">
        <v>55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8" t="s">
        <v>129</v>
      </c>
      <c r="U27" s="86">
        <f t="shared" si="4"/>
        <v>48.59988000000002</v>
      </c>
      <c r="V27" s="125" t="s">
        <v>55</v>
      </c>
      <c r="W27" s="78"/>
      <c r="X27" s="78"/>
      <c r="Y27" s="78"/>
      <c r="Z27" s="78"/>
      <c r="AA27" s="78"/>
      <c r="AB27" s="78"/>
      <c r="AC27" s="79"/>
    </row>
    <row r="28" spans="1:29" ht="14.25" customHeight="1" x14ac:dyDescent="0.3">
      <c r="A28" s="79"/>
      <c r="B28" s="79"/>
      <c r="C28" s="80" t="s">
        <v>130</v>
      </c>
      <c r="D28" s="86">
        <v>5.32</v>
      </c>
      <c r="E28" s="125" t="s">
        <v>55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80" t="s">
        <v>130</v>
      </c>
      <c r="U28" s="86">
        <f t="shared" si="4"/>
        <v>5.32</v>
      </c>
      <c r="V28" s="125" t="s">
        <v>55</v>
      </c>
      <c r="W28" s="78"/>
      <c r="X28" s="78"/>
      <c r="Y28" s="78"/>
      <c r="Z28" s="78"/>
      <c r="AA28" s="78"/>
      <c r="AB28" s="78"/>
      <c r="AC28" s="79"/>
    </row>
    <row r="29" spans="1:29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29" ht="14.25" customHeight="1" x14ac:dyDescent="0.3">
      <c r="A30" s="109"/>
      <c r="B30" s="31" t="s">
        <v>65</v>
      </c>
      <c r="C30" s="32">
        <v>3687229</v>
      </c>
      <c r="D30" s="32" t="s">
        <v>55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29" ht="14.25" customHeight="1" x14ac:dyDescent="0.3">
      <c r="A31" s="109"/>
      <c r="B31" s="109"/>
      <c r="C31" s="109"/>
      <c r="D31" s="109"/>
      <c r="E31" s="109"/>
      <c r="F31" s="109"/>
      <c r="G31" s="109"/>
      <c r="H31" s="109"/>
      <c r="I31" s="109"/>
      <c r="J31" s="370" t="s">
        <v>66</v>
      </c>
      <c r="K31" s="371"/>
      <c r="L31" s="371"/>
      <c r="M31" s="371"/>
      <c r="N31" s="371"/>
      <c r="O31" s="372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29" ht="14.25" customHeight="1" x14ac:dyDescent="0.3">
      <c r="A32" s="109"/>
      <c r="B32" s="109"/>
      <c r="C32" s="109"/>
      <c r="D32" s="109"/>
      <c r="E32" s="109"/>
      <c r="F32" s="109"/>
      <c r="G32" s="109"/>
      <c r="H32" s="109"/>
      <c r="I32" s="109"/>
      <c r="J32" s="34" t="s">
        <v>67</v>
      </c>
      <c r="K32" s="35" t="s">
        <v>68</v>
      </c>
      <c r="L32" s="35" t="s">
        <v>8</v>
      </c>
      <c r="M32" s="370" t="s">
        <v>69</v>
      </c>
      <c r="N32" s="371"/>
      <c r="O32" s="372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4.2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36" t="s">
        <v>70</v>
      </c>
      <c r="K33" s="37">
        <v>0.12468</v>
      </c>
      <c r="L33" s="36" t="s">
        <v>71</v>
      </c>
      <c r="M33" s="363" t="s">
        <v>72</v>
      </c>
      <c r="N33" s="364"/>
      <c r="O33" s="365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4.25" customHeight="1" x14ac:dyDescent="0.3">
      <c r="A34" s="109"/>
      <c r="B34" s="109"/>
      <c r="C34" s="109"/>
      <c r="D34" s="109"/>
      <c r="E34" s="109"/>
      <c r="F34" s="109"/>
      <c r="G34" s="109"/>
      <c r="H34" s="109"/>
      <c r="I34" s="109"/>
      <c r="J34" s="36" t="s">
        <v>73</v>
      </c>
      <c r="K34" s="37">
        <v>1.8959600000000001</v>
      </c>
      <c r="L34" s="36" t="s">
        <v>74</v>
      </c>
      <c r="M34" s="366"/>
      <c r="N34" s="367"/>
      <c r="O34" s="36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4.25" customHeight="1" x14ac:dyDescent="0.3">
      <c r="A35" s="109"/>
      <c r="B35" s="109"/>
      <c r="C35" s="109"/>
      <c r="D35" s="109"/>
      <c r="E35" s="109"/>
      <c r="F35" s="109"/>
      <c r="G35" s="109"/>
      <c r="H35" s="109"/>
      <c r="I35" s="109"/>
      <c r="J35" s="38" t="s">
        <v>75</v>
      </c>
      <c r="K35" s="39">
        <v>0.13328000000000001</v>
      </c>
      <c r="L35" s="38" t="s">
        <v>76</v>
      </c>
      <c r="M35" s="369"/>
      <c r="N35" s="360"/>
      <c r="O35" s="361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ht="14.25" customHeight="1" x14ac:dyDescent="0.3">
      <c r="A36" s="109"/>
      <c r="B36" s="109"/>
      <c r="C36" s="109"/>
      <c r="D36" s="109"/>
      <c r="E36" s="109"/>
      <c r="F36" s="109"/>
      <c r="G36" s="109"/>
      <c r="H36" s="109"/>
      <c r="I36" s="109"/>
      <c r="J36" s="36" t="s">
        <v>31</v>
      </c>
      <c r="K36" s="37">
        <v>74.099999999999994</v>
      </c>
      <c r="L36" s="36" t="s">
        <v>77</v>
      </c>
      <c r="M36" s="363" t="s">
        <v>78</v>
      </c>
      <c r="N36" s="364"/>
      <c r="O36" s="365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ht="14.25" customHeight="1" x14ac:dyDescent="0.3">
      <c r="A37" s="109"/>
      <c r="B37" s="109"/>
      <c r="C37" s="109"/>
      <c r="D37" s="109"/>
      <c r="E37" s="109"/>
      <c r="F37" s="109"/>
      <c r="G37" s="109"/>
      <c r="H37" s="109"/>
      <c r="I37" s="109"/>
      <c r="J37" s="38" t="s">
        <v>79</v>
      </c>
      <c r="K37" s="39">
        <v>3.0000000000000001E-3</v>
      </c>
      <c r="L37" s="38" t="s">
        <v>80</v>
      </c>
      <c r="M37" s="366"/>
      <c r="N37" s="367"/>
      <c r="O37" s="368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ht="14.25" customHeight="1" x14ac:dyDescent="0.3">
      <c r="A38" s="109"/>
      <c r="B38" s="109"/>
      <c r="C38" s="109"/>
      <c r="D38" s="109"/>
      <c r="E38" s="109"/>
      <c r="F38" s="109"/>
      <c r="G38" s="109"/>
      <c r="H38" s="109"/>
      <c r="I38" s="109"/>
      <c r="J38" s="38" t="s">
        <v>81</v>
      </c>
      <c r="K38" s="39">
        <v>5.9999999999999995E-4</v>
      </c>
      <c r="L38" s="38" t="s">
        <v>82</v>
      </c>
      <c r="M38" s="369"/>
      <c r="N38" s="360"/>
      <c r="O38" s="361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ht="14.25" customHeight="1" x14ac:dyDescent="0.35">
      <c r="A39" s="109"/>
      <c r="B39" s="109"/>
      <c r="C39" s="109"/>
      <c r="D39" s="109"/>
      <c r="E39" s="109"/>
      <c r="F39" s="109"/>
      <c r="G39" s="109"/>
      <c r="H39" s="109"/>
      <c r="I39" s="109"/>
      <c r="J39" s="34" t="s">
        <v>83</v>
      </c>
      <c r="K39" s="35" t="s">
        <v>8</v>
      </c>
      <c r="L39" s="40"/>
      <c r="M39" s="359"/>
      <c r="N39" s="360"/>
      <c r="O39" s="361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ht="14.25" customHeight="1" x14ac:dyDescent="0.35">
      <c r="A40" s="109"/>
      <c r="B40" s="109"/>
      <c r="C40" s="109"/>
      <c r="D40" s="109"/>
      <c r="E40" s="109"/>
      <c r="F40" s="109"/>
      <c r="G40" s="109"/>
      <c r="H40" s="109"/>
      <c r="I40" s="109"/>
      <c r="J40" s="41">
        <f>36*10^-6</f>
        <v>3.6000000000000001E-5</v>
      </c>
      <c r="K40" s="37" t="s">
        <v>84</v>
      </c>
      <c r="L40" s="40"/>
      <c r="M40" s="359"/>
      <c r="N40" s="360"/>
      <c r="O40" s="361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ht="14.25" customHeight="1" x14ac:dyDescent="0.3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ht="14.25" customHeight="1" x14ac:dyDescent="0.3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ht="14.25" customHeight="1" x14ac:dyDescent="0.3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ht="14.25" customHeight="1" x14ac:dyDescent="0.3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14.25" customHeight="1" x14ac:dyDescent="0.3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29" ht="14.25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  <row r="47" spans="1:29" ht="14.25" customHeight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</row>
    <row r="48" spans="1:29" ht="14.25" customHeight="1" x14ac:dyDescent="0.3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</row>
    <row r="49" spans="1:29" ht="14.25" customHeight="1" x14ac:dyDescent="0.3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</row>
    <row r="50" spans="1:29" ht="14.25" customHeigh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14.25" customHeigh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14.2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14.25" customHeight="1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</row>
    <row r="54" spans="1:29" ht="14.25" customHeight="1" x14ac:dyDescent="0.3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</row>
    <row r="55" spans="1:29" ht="14.2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</row>
    <row r="56" spans="1:29" ht="14.25" customHeight="1" x14ac:dyDescent="0.3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</row>
    <row r="57" spans="1:29" ht="14.25" customHeight="1" x14ac:dyDescent="0.3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</row>
    <row r="58" spans="1:29" ht="14.25" customHeight="1" x14ac:dyDescent="0.3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</row>
    <row r="59" spans="1:29" ht="14.25" customHeight="1" x14ac:dyDescent="0.3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</row>
    <row r="60" spans="1:29" ht="14.25" customHeight="1" x14ac:dyDescent="0.3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</row>
    <row r="61" spans="1:29" ht="14.25" customHeight="1" x14ac:dyDescent="0.3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</row>
    <row r="62" spans="1:29" ht="14.25" customHeight="1" x14ac:dyDescent="0.3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</row>
    <row r="63" spans="1:29" ht="14.25" customHeight="1" x14ac:dyDescent="0.3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</row>
    <row r="64" spans="1:29" ht="14.25" customHeight="1" x14ac:dyDescent="0.3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</row>
    <row r="65" spans="1:29" ht="14.25" customHeight="1" x14ac:dyDescent="0.3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</row>
    <row r="66" spans="1:29" ht="14.25" customHeight="1" x14ac:dyDescent="0.3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</row>
    <row r="67" spans="1:29" ht="14.25" customHeight="1" x14ac:dyDescent="0.3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</row>
    <row r="68" spans="1:29" ht="14.25" customHeight="1" x14ac:dyDescent="0.3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</row>
    <row r="69" spans="1:29" ht="14.25" customHeight="1" x14ac:dyDescent="0.3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</row>
    <row r="70" spans="1:29" ht="14.25" customHeight="1" x14ac:dyDescent="0.3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</row>
    <row r="71" spans="1:29" ht="14.25" customHeight="1" x14ac:dyDescent="0.3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</row>
    <row r="72" spans="1:29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</row>
    <row r="73" spans="1:29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</row>
    <row r="74" spans="1:29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</row>
    <row r="75" spans="1:29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</row>
    <row r="76" spans="1:29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</row>
    <row r="77" spans="1:29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</row>
    <row r="78" spans="1:29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</row>
    <row r="79" spans="1:29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</row>
    <row r="80" spans="1:29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</row>
    <row r="81" spans="1:29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</row>
    <row r="82" spans="1:29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</row>
    <row r="83" spans="1:29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</row>
    <row r="84" spans="1:29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</row>
    <row r="85" spans="1:29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</row>
    <row r="86" spans="1:29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</row>
    <row r="87" spans="1:29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</row>
    <row r="88" spans="1:29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</row>
    <row r="89" spans="1:29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</row>
    <row r="90" spans="1:29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</row>
    <row r="91" spans="1:29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</row>
    <row r="92" spans="1:29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</row>
    <row r="93" spans="1:29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</row>
    <row r="94" spans="1:29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</row>
    <row r="95" spans="1:29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</row>
    <row r="96" spans="1:29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</row>
    <row r="97" spans="1:29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</row>
    <row r="98" spans="1:29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</row>
    <row r="99" spans="1:29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</row>
    <row r="100" spans="1:29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</row>
    <row r="101" spans="1:29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</row>
    <row r="102" spans="1:29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</row>
    <row r="103" spans="1:29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</row>
    <row r="104" spans="1:29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</row>
    <row r="105" spans="1:29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</row>
    <row r="106" spans="1:29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</row>
    <row r="107" spans="1:29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</row>
    <row r="108" spans="1:29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</row>
    <row r="109" spans="1:29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</row>
    <row r="110" spans="1:29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</row>
    <row r="111" spans="1:29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</row>
    <row r="112" spans="1:29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</row>
    <row r="113" spans="1:29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</row>
    <row r="114" spans="1:29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</row>
    <row r="115" spans="1:29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</row>
    <row r="116" spans="1:29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</row>
    <row r="117" spans="1:29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</row>
    <row r="118" spans="1:29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</row>
    <row r="119" spans="1:29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</row>
    <row r="120" spans="1:29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</row>
    <row r="121" spans="1:29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</row>
    <row r="122" spans="1:29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</row>
    <row r="123" spans="1:29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</row>
    <row r="124" spans="1:29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</row>
    <row r="125" spans="1:29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</row>
    <row r="126" spans="1:29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</row>
    <row r="127" spans="1:29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</row>
    <row r="128" spans="1:29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</row>
    <row r="129" spans="1:29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</row>
    <row r="130" spans="1:29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</row>
    <row r="131" spans="1:29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</row>
    <row r="132" spans="1:29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</row>
    <row r="133" spans="1:29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</row>
    <row r="134" spans="1:29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</row>
    <row r="135" spans="1:29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</row>
    <row r="136" spans="1:29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</row>
    <row r="137" spans="1:29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</row>
    <row r="138" spans="1:29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</row>
    <row r="139" spans="1:29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</row>
    <row r="140" spans="1:29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</row>
    <row r="141" spans="1:29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</row>
    <row r="142" spans="1:29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</row>
    <row r="143" spans="1:29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</row>
    <row r="144" spans="1:29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</row>
    <row r="145" spans="1:29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</row>
    <row r="146" spans="1:29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</row>
    <row r="147" spans="1:29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</row>
    <row r="148" spans="1:29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</row>
    <row r="149" spans="1:29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</row>
    <row r="150" spans="1:29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</row>
    <row r="151" spans="1:29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</row>
    <row r="152" spans="1:29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</row>
    <row r="153" spans="1:29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</row>
    <row r="154" spans="1:29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</row>
    <row r="155" spans="1:29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</row>
    <row r="156" spans="1:29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</row>
    <row r="157" spans="1:29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</row>
    <row r="158" spans="1:29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</row>
    <row r="159" spans="1:29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</row>
    <row r="160" spans="1:29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</row>
    <row r="161" spans="1:29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</row>
    <row r="162" spans="1:29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</row>
    <row r="163" spans="1:29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</row>
    <row r="164" spans="1:29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</row>
    <row r="165" spans="1:29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</row>
    <row r="166" spans="1:29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</row>
    <row r="167" spans="1:29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</row>
    <row r="168" spans="1:29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</row>
    <row r="169" spans="1:29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</row>
    <row r="170" spans="1:29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</row>
    <row r="171" spans="1:29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</row>
    <row r="172" spans="1:29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</row>
    <row r="173" spans="1:29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</row>
    <row r="174" spans="1:29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</row>
    <row r="175" spans="1:29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</row>
    <row r="176" spans="1:29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</row>
    <row r="177" spans="1:29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</row>
    <row r="178" spans="1:29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</row>
    <row r="179" spans="1:29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</row>
    <row r="180" spans="1:29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</row>
    <row r="181" spans="1:29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</row>
    <row r="182" spans="1:29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</row>
    <row r="183" spans="1:29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</row>
    <row r="184" spans="1:29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</row>
    <row r="185" spans="1:29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</row>
    <row r="186" spans="1:29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</row>
    <row r="187" spans="1:29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</row>
    <row r="188" spans="1:29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</row>
    <row r="189" spans="1:29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</row>
    <row r="190" spans="1:29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</row>
    <row r="191" spans="1:29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</row>
    <row r="192" spans="1:29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</row>
    <row r="193" spans="1:29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</row>
    <row r="194" spans="1:29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</row>
    <row r="195" spans="1:29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</row>
    <row r="196" spans="1:29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</row>
    <row r="197" spans="1:29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</row>
    <row r="198" spans="1:29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</row>
    <row r="199" spans="1:29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</row>
    <row r="200" spans="1:29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</row>
    <row r="201" spans="1:29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</row>
    <row r="202" spans="1:29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</row>
    <row r="203" spans="1:29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</row>
    <row r="204" spans="1:29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</row>
    <row r="205" spans="1:29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</row>
    <row r="206" spans="1:29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</row>
    <row r="207" spans="1:29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</row>
    <row r="208" spans="1:29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</row>
    <row r="209" spans="1:29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</row>
    <row r="210" spans="1:29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</row>
    <row r="211" spans="1:29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</row>
    <row r="212" spans="1:29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</row>
    <row r="213" spans="1:29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</row>
    <row r="214" spans="1:29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</row>
    <row r="215" spans="1:29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</row>
    <row r="216" spans="1:29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</row>
    <row r="217" spans="1:29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</row>
    <row r="218" spans="1:29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</row>
    <row r="219" spans="1:29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</row>
    <row r="220" spans="1:29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</row>
    <row r="221" spans="1:29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</row>
    <row r="222" spans="1:29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</row>
    <row r="223" spans="1:29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</row>
    <row r="224" spans="1:29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</row>
    <row r="225" spans="1:29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</row>
    <row r="226" spans="1:29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</row>
    <row r="227" spans="1:29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</row>
    <row r="228" spans="1:29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</row>
    <row r="229" spans="1:29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</row>
    <row r="230" spans="1:29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</row>
    <row r="231" spans="1:29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</row>
    <row r="232" spans="1:29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</row>
    <row r="233" spans="1:29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</row>
    <row r="234" spans="1:29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</row>
    <row r="235" spans="1:29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</row>
    <row r="236" spans="1:29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</row>
    <row r="237" spans="1:29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</row>
    <row r="238" spans="1:29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</row>
    <row r="239" spans="1:29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</row>
    <row r="240" spans="1:29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</row>
    <row r="241" spans="1:29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</row>
    <row r="242" spans="1:29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</row>
    <row r="243" spans="1:29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</row>
    <row r="244" spans="1:29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</row>
    <row r="245" spans="1:29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</row>
    <row r="246" spans="1:29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</row>
    <row r="247" spans="1:29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</row>
    <row r="248" spans="1:29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</row>
    <row r="249" spans="1:29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</row>
    <row r="250" spans="1:29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</row>
    <row r="251" spans="1:29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</row>
    <row r="252" spans="1:29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</row>
    <row r="253" spans="1:29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</row>
    <row r="254" spans="1:29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</row>
    <row r="255" spans="1:29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</row>
    <row r="256" spans="1:29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</row>
    <row r="257" spans="1:29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</row>
    <row r="258" spans="1:29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</row>
    <row r="259" spans="1:29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</row>
    <row r="260" spans="1:29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</row>
    <row r="261" spans="1:29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</row>
    <row r="262" spans="1:29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</row>
    <row r="263" spans="1:29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</row>
    <row r="264" spans="1:29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</row>
    <row r="265" spans="1:29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</row>
    <row r="266" spans="1:29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</row>
    <row r="267" spans="1:29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</row>
    <row r="268" spans="1:29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</row>
    <row r="269" spans="1:29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</row>
    <row r="270" spans="1:29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</row>
    <row r="271" spans="1:29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</row>
    <row r="272" spans="1:29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</row>
    <row r="273" spans="1:29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</row>
    <row r="274" spans="1:29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</row>
    <row r="275" spans="1:29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</row>
    <row r="276" spans="1:29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</row>
    <row r="277" spans="1:29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</row>
    <row r="278" spans="1:29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</row>
    <row r="279" spans="1:29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</row>
    <row r="280" spans="1:29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</row>
    <row r="281" spans="1:29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</row>
    <row r="282" spans="1:29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</row>
    <row r="283" spans="1:29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</row>
    <row r="284" spans="1:29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</row>
    <row r="285" spans="1:29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</row>
    <row r="286" spans="1:29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</row>
    <row r="287" spans="1:29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</row>
    <row r="288" spans="1:29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</row>
    <row r="289" spans="1:29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</row>
    <row r="290" spans="1:29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</row>
    <row r="291" spans="1:29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</row>
    <row r="292" spans="1:29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</row>
    <row r="293" spans="1:29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</row>
    <row r="294" spans="1:29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</row>
    <row r="295" spans="1:29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</row>
    <row r="296" spans="1:29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</row>
    <row r="297" spans="1:29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</row>
    <row r="298" spans="1:29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</row>
    <row r="299" spans="1:29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</row>
    <row r="300" spans="1:29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</row>
    <row r="301" spans="1:29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</row>
    <row r="302" spans="1:29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</row>
    <row r="303" spans="1:29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</row>
    <row r="304" spans="1:29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</row>
    <row r="305" spans="1:29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</row>
    <row r="306" spans="1:29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</row>
    <row r="307" spans="1:29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</row>
    <row r="308" spans="1:29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</row>
    <row r="309" spans="1:29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</row>
    <row r="310" spans="1:29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</row>
    <row r="311" spans="1:29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</row>
    <row r="312" spans="1:29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</row>
    <row r="313" spans="1:29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</row>
    <row r="314" spans="1:29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</row>
    <row r="315" spans="1:29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</row>
    <row r="316" spans="1:29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</row>
    <row r="317" spans="1:29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</row>
    <row r="318" spans="1:29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</row>
    <row r="319" spans="1:29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</row>
    <row r="320" spans="1:29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</row>
    <row r="321" spans="1:29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</row>
    <row r="322" spans="1:29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</row>
    <row r="323" spans="1:29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</row>
    <row r="324" spans="1:29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</row>
    <row r="325" spans="1:29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</row>
    <row r="326" spans="1:29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</row>
    <row r="327" spans="1:29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</row>
    <row r="328" spans="1:29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</row>
    <row r="329" spans="1:29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</row>
    <row r="330" spans="1:29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</row>
    <row r="331" spans="1:29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</row>
    <row r="332" spans="1:29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</row>
    <row r="333" spans="1:29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</row>
    <row r="334" spans="1:29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</row>
    <row r="335" spans="1:29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</row>
    <row r="336" spans="1:29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</row>
    <row r="337" spans="1:29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</row>
    <row r="338" spans="1:29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</row>
    <row r="339" spans="1:29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</row>
    <row r="340" spans="1:29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</row>
    <row r="341" spans="1:29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</row>
    <row r="342" spans="1:29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</row>
    <row r="343" spans="1:29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</row>
    <row r="344" spans="1:29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</row>
    <row r="345" spans="1:29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</row>
    <row r="346" spans="1:29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</row>
    <row r="347" spans="1:29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</row>
    <row r="348" spans="1:29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</row>
    <row r="349" spans="1:29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</row>
    <row r="350" spans="1:29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</row>
    <row r="351" spans="1:29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</row>
    <row r="352" spans="1:29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</row>
    <row r="353" spans="1:29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</row>
    <row r="354" spans="1:29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</row>
    <row r="355" spans="1:29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</row>
    <row r="356" spans="1:29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</row>
    <row r="357" spans="1:29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</row>
    <row r="358" spans="1:29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</row>
    <row r="359" spans="1:29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</row>
    <row r="360" spans="1:29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</row>
    <row r="361" spans="1:29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</row>
    <row r="362" spans="1:29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</row>
    <row r="363" spans="1:29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</row>
    <row r="364" spans="1:29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</row>
    <row r="365" spans="1:29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</row>
    <row r="366" spans="1:29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</row>
    <row r="367" spans="1:29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</row>
    <row r="368" spans="1:29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</row>
    <row r="369" spans="1:29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</row>
    <row r="370" spans="1:29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</row>
    <row r="371" spans="1:29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</row>
    <row r="372" spans="1:29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</row>
    <row r="373" spans="1:29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</row>
    <row r="374" spans="1:29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</row>
    <row r="375" spans="1:29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</row>
    <row r="376" spans="1:29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</row>
    <row r="377" spans="1:29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</row>
    <row r="378" spans="1:29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</row>
    <row r="379" spans="1:29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</row>
    <row r="380" spans="1:29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</row>
    <row r="381" spans="1:29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</row>
    <row r="382" spans="1:29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</row>
    <row r="383" spans="1:29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</row>
    <row r="384" spans="1:29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</row>
    <row r="385" spans="1:29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</row>
    <row r="386" spans="1:29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</row>
    <row r="387" spans="1:29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</row>
    <row r="388" spans="1:29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</row>
    <row r="389" spans="1:29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</row>
    <row r="390" spans="1:29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</row>
    <row r="391" spans="1:29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</row>
    <row r="392" spans="1:29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</row>
    <row r="393" spans="1:29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</row>
    <row r="394" spans="1:29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</row>
    <row r="395" spans="1:29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</row>
    <row r="396" spans="1:29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</row>
    <row r="397" spans="1:29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</row>
    <row r="398" spans="1:29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</row>
    <row r="399" spans="1:29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</row>
    <row r="400" spans="1:29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</row>
    <row r="401" spans="1:29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</row>
    <row r="402" spans="1:29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</row>
    <row r="403" spans="1:29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</row>
    <row r="404" spans="1:29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</row>
    <row r="405" spans="1:29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</row>
    <row r="406" spans="1:29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</row>
    <row r="407" spans="1:29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</row>
    <row r="408" spans="1:29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</row>
    <row r="409" spans="1:29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</row>
    <row r="410" spans="1:29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</row>
    <row r="411" spans="1:29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</row>
    <row r="412" spans="1:29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</row>
    <row r="413" spans="1:29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</row>
    <row r="414" spans="1:29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</row>
    <row r="415" spans="1:29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</row>
    <row r="416" spans="1:29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</row>
    <row r="417" spans="1:29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</row>
    <row r="418" spans="1:29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</row>
    <row r="419" spans="1:29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</row>
    <row r="420" spans="1:29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</row>
    <row r="421" spans="1:29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</row>
    <row r="422" spans="1:29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</row>
    <row r="423" spans="1:29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</row>
    <row r="424" spans="1:29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</row>
    <row r="425" spans="1:29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</row>
    <row r="426" spans="1:29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</row>
    <row r="427" spans="1:29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</row>
    <row r="428" spans="1:29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</row>
    <row r="429" spans="1:29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</row>
    <row r="430" spans="1:29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</row>
    <row r="431" spans="1:29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</row>
    <row r="432" spans="1:29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</row>
    <row r="433" spans="1:29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</row>
    <row r="434" spans="1:29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</row>
    <row r="435" spans="1:29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</row>
    <row r="436" spans="1:29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</row>
    <row r="437" spans="1:29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</row>
    <row r="438" spans="1:29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</row>
    <row r="439" spans="1:29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</row>
    <row r="440" spans="1:29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</row>
    <row r="441" spans="1:29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</row>
    <row r="442" spans="1:29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</row>
    <row r="443" spans="1:29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</row>
    <row r="444" spans="1:29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</row>
    <row r="445" spans="1:29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</row>
    <row r="446" spans="1:29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</row>
    <row r="447" spans="1:29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</row>
    <row r="448" spans="1:29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</row>
    <row r="449" spans="1:29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</row>
    <row r="450" spans="1:29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</row>
    <row r="451" spans="1:29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</row>
    <row r="452" spans="1:29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</row>
    <row r="453" spans="1:29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</row>
    <row r="454" spans="1:29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</row>
    <row r="455" spans="1:29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</row>
    <row r="456" spans="1:29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</row>
    <row r="457" spans="1:29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</row>
    <row r="458" spans="1:29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</row>
    <row r="459" spans="1:29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</row>
    <row r="460" spans="1:29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</row>
    <row r="461" spans="1:29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</row>
    <row r="462" spans="1:29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</row>
    <row r="463" spans="1:29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</row>
    <row r="464" spans="1:29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</row>
    <row r="465" spans="1:29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</row>
    <row r="466" spans="1:29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</row>
    <row r="467" spans="1:29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</row>
    <row r="468" spans="1:29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</row>
    <row r="469" spans="1:29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</row>
    <row r="470" spans="1:29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</row>
    <row r="471" spans="1:29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</row>
    <row r="472" spans="1:29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</row>
    <row r="473" spans="1:29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</row>
    <row r="474" spans="1:29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</row>
    <row r="475" spans="1:29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</row>
    <row r="476" spans="1:29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</row>
    <row r="477" spans="1:29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</row>
    <row r="478" spans="1:29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</row>
    <row r="479" spans="1:29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</row>
    <row r="480" spans="1:29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</row>
    <row r="481" spans="1:29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</row>
    <row r="482" spans="1:29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</row>
    <row r="483" spans="1:29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</row>
    <row r="484" spans="1:29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</row>
    <row r="485" spans="1:29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</row>
    <row r="486" spans="1:29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</row>
    <row r="487" spans="1:29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</row>
    <row r="488" spans="1:29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</row>
    <row r="489" spans="1:29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</row>
    <row r="490" spans="1:29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</row>
    <row r="491" spans="1:29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</row>
    <row r="492" spans="1:29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</row>
    <row r="493" spans="1:29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</row>
    <row r="494" spans="1:29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</row>
    <row r="495" spans="1:29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</row>
    <row r="496" spans="1:29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</row>
    <row r="497" spans="1:29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</row>
    <row r="498" spans="1:29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</row>
    <row r="499" spans="1:29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</row>
    <row r="500" spans="1:29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</row>
    <row r="501" spans="1:29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</row>
    <row r="502" spans="1:29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</row>
    <row r="503" spans="1:29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</row>
    <row r="504" spans="1:29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</row>
    <row r="505" spans="1:29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</row>
    <row r="506" spans="1:29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</row>
    <row r="507" spans="1:29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</row>
    <row r="508" spans="1:29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</row>
    <row r="509" spans="1:29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</row>
    <row r="510" spans="1:29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</row>
    <row r="511" spans="1:29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</row>
    <row r="512" spans="1:29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</row>
    <row r="513" spans="1:29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</row>
    <row r="514" spans="1:29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</row>
    <row r="515" spans="1:29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</row>
    <row r="516" spans="1:29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</row>
    <row r="517" spans="1:29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</row>
    <row r="518" spans="1:29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</row>
    <row r="519" spans="1:29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</row>
    <row r="520" spans="1:29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</row>
    <row r="521" spans="1:29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</row>
    <row r="522" spans="1:29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</row>
    <row r="523" spans="1:29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</row>
    <row r="524" spans="1:29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</row>
    <row r="525" spans="1:29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</row>
    <row r="526" spans="1:29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</row>
    <row r="527" spans="1:29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</row>
    <row r="528" spans="1:29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</row>
    <row r="529" spans="1:29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</row>
    <row r="530" spans="1:29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</row>
    <row r="531" spans="1:29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</row>
    <row r="532" spans="1:29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</row>
    <row r="533" spans="1:29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</row>
    <row r="534" spans="1:29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</row>
    <row r="535" spans="1:29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</row>
    <row r="536" spans="1:29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</row>
    <row r="537" spans="1:29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</row>
    <row r="538" spans="1:29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</row>
    <row r="539" spans="1:29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</row>
    <row r="540" spans="1:29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</row>
    <row r="541" spans="1:29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</row>
    <row r="542" spans="1:29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</row>
    <row r="543" spans="1:29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</row>
    <row r="544" spans="1:29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</row>
    <row r="545" spans="1:29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</row>
    <row r="546" spans="1:29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</row>
    <row r="547" spans="1:29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</row>
    <row r="548" spans="1:29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</row>
    <row r="549" spans="1:29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</row>
    <row r="550" spans="1:29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</row>
    <row r="551" spans="1:29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</row>
    <row r="552" spans="1:29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</row>
    <row r="553" spans="1:29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</row>
    <row r="554" spans="1:29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</row>
    <row r="555" spans="1:29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</row>
    <row r="556" spans="1:29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</row>
    <row r="557" spans="1:29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</row>
    <row r="558" spans="1:29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</row>
    <row r="559" spans="1:29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</row>
    <row r="560" spans="1:29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</row>
    <row r="561" spans="1:29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</row>
    <row r="562" spans="1:29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</row>
    <row r="563" spans="1:29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</row>
    <row r="564" spans="1:29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</row>
    <row r="565" spans="1:29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</row>
    <row r="566" spans="1:29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</row>
    <row r="567" spans="1:29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</row>
    <row r="568" spans="1:29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</row>
    <row r="569" spans="1:29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</row>
    <row r="570" spans="1:29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</row>
    <row r="571" spans="1:29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</row>
    <row r="572" spans="1:29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</row>
    <row r="573" spans="1:29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</row>
    <row r="574" spans="1:29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</row>
    <row r="575" spans="1:29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</row>
    <row r="576" spans="1:29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</row>
    <row r="577" spans="1:29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</row>
    <row r="578" spans="1:29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</row>
    <row r="579" spans="1:29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</row>
    <row r="580" spans="1:29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</row>
    <row r="581" spans="1:29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</row>
    <row r="582" spans="1:29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</row>
    <row r="583" spans="1:29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</row>
    <row r="584" spans="1:29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</row>
    <row r="585" spans="1:29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</row>
    <row r="586" spans="1:29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</row>
    <row r="587" spans="1:29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</row>
    <row r="588" spans="1:29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</row>
    <row r="589" spans="1:29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</row>
    <row r="590" spans="1:29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</row>
    <row r="591" spans="1:29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</row>
    <row r="592" spans="1:29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</row>
    <row r="593" spans="1:29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</row>
    <row r="594" spans="1:29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</row>
    <row r="595" spans="1:29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</row>
    <row r="596" spans="1:29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</row>
    <row r="597" spans="1:29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</row>
    <row r="598" spans="1:29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</row>
    <row r="599" spans="1:29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</row>
    <row r="600" spans="1:29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</row>
    <row r="601" spans="1:29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</row>
    <row r="602" spans="1:29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</row>
    <row r="603" spans="1:29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</row>
    <row r="604" spans="1:29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</row>
    <row r="605" spans="1:29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</row>
    <row r="606" spans="1:29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</row>
    <row r="607" spans="1:29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</row>
    <row r="608" spans="1:29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</row>
    <row r="609" spans="1:29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</row>
    <row r="610" spans="1:29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</row>
    <row r="611" spans="1:29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</row>
    <row r="612" spans="1:29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</row>
    <row r="613" spans="1:29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</row>
    <row r="614" spans="1:29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</row>
    <row r="615" spans="1:29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</row>
    <row r="616" spans="1:29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</row>
    <row r="617" spans="1:29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</row>
    <row r="618" spans="1:29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</row>
    <row r="619" spans="1:29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</row>
    <row r="620" spans="1:29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</row>
    <row r="621" spans="1:29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</row>
    <row r="622" spans="1:29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</row>
    <row r="623" spans="1:29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</row>
    <row r="624" spans="1:29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</row>
    <row r="625" spans="1:29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</row>
    <row r="626" spans="1:29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</row>
    <row r="627" spans="1:29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</row>
    <row r="628" spans="1:29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</row>
    <row r="629" spans="1:29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</row>
    <row r="630" spans="1:29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</row>
    <row r="631" spans="1:29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</row>
    <row r="632" spans="1:29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</row>
    <row r="633" spans="1:29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</row>
    <row r="634" spans="1:29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</row>
    <row r="635" spans="1:29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</row>
    <row r="636" spans="1:29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</row>
    <row r="637" spans="1:29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</row>
    <row r="638" spans="1:29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</row>
    <row r="639" spans="1:29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</row>
    <row r="640" spans="1:29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</row>
    <row r="641" spans="1:29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</row>
    <row r="642" spans="1:29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</row>
    <row r="643" spans="1:29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</row>
    <row r="644" spans="1:29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</row>
    <row r="645" spans="1:29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</row>
    <row r="646" spans="1:29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</row>
    <row r="647" spans="1:29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</row>
    <row r="648" spans="1:29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</row>
    <row r="649" spans="1:29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</row>
    <row r="650" spans="1:29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</row>
    <row r="651" spans="1:29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</row>
    <row r="652" spans="1:29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</row>
    <row r="653" spans="1:29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</row>
    <row r="654" spans="1:29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</row>
    <row r="655" spans="1:29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</row>
    <row r="656" spans="1:29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</row>
    <row r="657" spans="1:29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</row>
    <row r="658" spans="1:29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</row>
    <row r="659" spans="1:29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</row>
    <row r="660" spans="1:29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</row>
    <row r="661" spans="1:29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</row>
    <row r="662" spans="1:29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</row>
    <row r="663" spans="1:29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</row>
    <row r="664" spans="1:29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</row>
    <row r="665" spans="1:29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</row>
    <row r="666" spans="1:29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</row>
    <row r="667" spans="1:29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</row>
    <row r="668" spans="1:29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</row>
    <row r="669" spans="1:29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</row>
    <row r="670" spans="1:29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</row>
    <row r="671" spans="1:29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</row>
    <row r="672" spans="1:29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</row>
    <row r="673" spans="1:29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</row>
    <row r="674" spans="1:29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</row>
    <row r="675" spans="1:29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</row>
    <row r="676" spans="1:29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</row>
    <row r="677" spans="1:29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</row>
    <row r="678" spans="1:29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</row>
    <row r="679" spans="1:29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</row>
    <row r="680" spans="1:29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</row>
    <row r="681" spans="1:29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</row>
    <row r="682" spans="1:29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</row>
    <row r="683" spans="1:29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</row>
    <row r="684" spans="1:29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</row>
    <row r="685" spans="1:29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</row>
    <row r="686" spans="1:29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</row>
    <row r="687" spans="1:29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</row>
    <row r="688" spans="1:29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</row>
    <row r="689" spans="1:29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</row>
    <row r="690" spans="1:29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</row>
    <row r="691" spans="1:29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</row>
    <row r="692" spans="1:29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</row>
    <row r="693" spans="1:29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</row>
    <row r="694" spans="1:29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</row>
    <row r="695" spans="1:29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</row>
    <row r="696" spans="1:29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</row>
    <row r="697" spans="1:29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</row>
    <row r="698" spans="1:29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</row>
    <row r="699" spans="1:29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</row>
    <row r="700" spans="1:29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</row>
    <row r="701" spans="1:29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</row>
    <row r="702" spans="1:29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</row>
    <row r="703" spans="1:29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</row>
    <row r="704" spans="1:29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</row>
    <row r="705" spans="1:29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</row>
    <row r="706" spans="1:29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</row>
    <row r="707" spans="1:29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</row>
    <row r="708" spans="1:29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</row>
    <row r="709" spans="1:29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</row>
    <row r="710" spans="1:29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</row>
    <row r="711" spans="1:29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</row>
    <row r="712" spans="1:29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</row>
    <row r="713" spans="1:29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</row>
    <row r="714" spans="1:29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</row>
    <row r="715" spans="1:29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</row>
    <row r="716" spans="1:29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</row>
    <row r="717" spans="1:29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</row>
    <row r="718" spans="1:29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</row>
    <row r="719" spans="1:29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</row>
    <row r="720" spans="1:29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</row>
    <row r="721" spans="1:29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</row>
    <row r="722" spans="1:29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</row>
    <row r="723" spans="1:29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</row>
    <row r="724" spans="1:29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</row>
    <row r="725" spans="1:29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</row>
    <row r="726" spans="1:29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</row>
    <row r="727" spans="1:29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</row>
    <row r="728" spans="1:29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</row>
    <row r="729" spans="1:29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</row>
    <row r="730" spans="1:29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</row>
    <row r="731" spans="1:29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</row>
    <row r="732" spans="1:29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</row>
    <row r="733" spans="1:29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</row>
    <row r="734" spans="1:29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</row>
    <row r="735" spans="1:29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</row>
    <row r="736" spans="1:29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</row>
    <row r="737" spans="1:29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</row>
    <row r="738" spans="1:29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</row>
    <row r="739" spans="1:29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</row>
    <row r="740" spans="1:29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</row>
    <row r="741" spans="1:29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</row>
    <row r="742" spans="1:29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</row>
    <row r="743" spans="1:29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</row>
    <row r="744" spans="1:29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</row>
    <row r="745" spans="1:29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</row>
    <row r="746" spans="1:29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</row>
    <row r="747" spans="1:29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</row>
    <row r="748" spans="1:29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</row>
    <row r="749" spans="1:29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</row>
    <row r="750" spans="1:29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</row>
    <row r="751" spans="1:29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</row>
    <row r="752" spans="1:29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</row>
    <row r="753" spans="1:29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</row>
    <row r="754" spans="1:29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</row>
    <row r="755" spans="1:29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</row>
    <row r="756" spans="1:29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</row>
    <row r="757" spans="1:29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</row>
    <row r="758" spans="1:29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</row>
    <row r="759" spans="1:29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</row>
    <row r="760" spans="1:29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</row>
    <row r="761" spans="1:29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</row>
    <row r="762" spans="1:29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</row>
    <row r="763" spans="1:29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</row>
    <row r="764" spans="1:29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</row>
    <row r="765" spans="1:29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</row>
    <row r="766" spans="1:29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</row>
    <row r="767" spans="1:29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</row>
    <row r="768" spans="1:29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</row>
    <row r="769" spans="1:29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</row>
    <row r="770" spans="1:29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</row>
    <row r="771" spans="1:29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</row>
    <row r="772" spans="1:29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</row>
    <row r="773" spans="1:29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</row>
    <row r="774" spans="1:29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</row>
    <row r="775" spans="1:29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</row>
    <row r="776" spans="1:29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</row>
    <row r="777" spans="1:29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</row>
    <row r="778" spans="1:29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</row>
    <row r="779" spans="1:29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</row>
    <row r="780" spans="1:29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</row>
    <row r="781" spans="1:29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</row>
    <row r="782" spans="1:29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</row>
    <row r="783" spans="1:29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</row>
    <row r="784" spans="1:29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</row>
    <row r="785" spans="1:29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</row>
    <row r="786" spans="1:29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</row>
    <row r="787" spans="1:29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</row>
    <row r="788" spans="1:29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</row>
    <row r="789" spans="1:29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</row>
    <row r="790" spans="1:29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</row>
    <row r="791" spans="1:29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</row>
    <row r="792" spans="1:29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</row>
    <row r="793" spans="1:29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</row>
    <row r="794" spans="1:29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</row>
    <row r="795" spans="1:29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</row>
    <row r="796" spans="1:29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</row>
    <row r="797" spans="1:29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</row>
    <row r="798" spans="1:29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</row>
    <row r="799" spans="1:29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</row>
    <row r="800" spans="1:29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</row>
    <row r="801" spans="1:29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</row>
    <row r="802" spans="1:29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</row>
    <row r="803" spans="1:29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</row>
    <row r="804" spans="1:29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</row>
    <row r="805" spans="1:29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</row>
    <row r="806" spans="1:29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</row>
    <row r="807" spans="1:29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</row>
    <row r="808" spans="1:29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</row>
    <row r="809" spans="1:29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</row>
    <row r="810" spans="1:29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</row>
    <row r="811" spans="1:29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</row>
    <row r="812" spans="1:29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</row>
    <row r="813" spans="1:29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</row>
    <row r="814" spans="1:29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</row>
    <row r="815" spans="1:29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</row>
    <row r="816" spans="1:29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</row>
    <row r="817" spans="1:29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</row>
    <row r="818" spans="1:29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</row>
    <row r="819" spans="1:29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</row>
    <row r="820" spans="1:29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</row>
    <row r="821" spans="1:29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</row>
    <row r="822" spans="1:29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</row>
    <row r="823" spans="1:29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</row>
    <row r="824" spans="1:29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</row>
    <row r="825" spans="1:29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</row>
    <row r="826" spans="1:29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</row>
    <row r="827" spans="1:29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</row>
    <row r="828" spans="1:29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</row>
    <row r="829" spans="1:29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</row>
    <row r="830" spans="1:29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</row>
    <row r="831" spans="1:29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</row>
    <row r="832" spans="1:29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</row>
    <row r="833" spans="1:29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</row>
    <row r="834" spans="1:29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</row>
    <row r="835" spans="1:29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</row>
    <row r="836" spans="1:29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</row>
    <row r="837" spans="1:29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</row>
    <row r="838" spans="1:29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</row>
    <row r="839" spans="1:29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</row>
    <row r="840" spans="1:29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</row>
    <row r="841" spans="1:29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</row>
    <row r="842" spans="1:29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</row>
    <row r="843" spans="1:29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</row>
    <row r="844" spans="1:29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</row>
    <row r="845" spans="1:29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</row>
    <row r="846" spans="1:29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</row>
    <row r="847" spans="1:29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</row>
    <row r="848" spans="1:29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</row>
    <row r="849" spans="1:29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</row>
    <row r="850" spans="1:29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</row>
    <row r="851" spans="1:29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</row>
    <row r="852" spans="1:29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</row>
    <row r="853" spans="1:29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</row>
    <row r="854" spans="1:29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</row>
    <row r="855" spans="1:29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</row>
    <row r="856" spans="1:29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</row>
    <row r="857" spans="1:29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</row>
    <row r="858" spans="1:29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</row>
    <row r="859" spans="1:29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</row>
    <row r="860" spans="1:29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</row>
    <row r="861" spans="1:29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</row>
    <row r="862" spans="1:29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</row>
    <row r="863" spans="1:29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</row>
    <row r="864" spans="1:29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</row>
    <row r="865" spans="1:29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</row>
    <row r="866" spans="1:29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</row>
    <row r="867" spans="1:29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</row>
    <row r="868" spans="1:29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</row>
    <row r="869" spans="1:29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</row>
    <row r="870" spans="1:29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</row>
    <row r="871" spans="1:29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</row>
    <row r="872" spans="1:29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</row>
    <row r="873" spans="1:29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</row>
    <row r="874" spans="1:29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</row>
    <row r="875" spans="1:29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</row>
    <row r="876" spans="1:29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</row>
    <row r="877" spans="1:29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</row>
    <row r="878" spans="1:29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</row>
    <row r="879" spans="1:29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</row>
    <row r="880" spans="1:29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</row>
    <row r="881" spans="1:29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</row>
    <row r="882" spans="1:29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</row>
    <row r="883" spans="1:29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</row>
    <row r="884" spans="1:29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</row>
    <row r="885" spans="1:29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</row>
    <row r="886" spans="1:29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</row>
    <row r="887" spans="1:29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</row>
    <row r="888" spans="1:29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</row>
    <row r="889" spans="1:29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</row>
    <row r="890" spans="1:29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</row>
    <row r="891" spans="1:29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</row>
    <row r="892" spans="1:29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</row>
    <row r="893" spans="1:29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</row>
    <row r="894" spans="1:29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</row>
    <row r="895" spans="1:29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</row>
    <row r="896" spans="1:29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</row>
    <row r="897" spans="1:29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</row>
    <row r="898" spans="1:29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</row>
    <row r="899" spans="1:29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</row>
    <row r="900" spans="1:29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</row>
    <row r="901" spans="1:29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</row>
    <row r="902" spans="1:29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</row>
    <row r="903" spans="1:29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</row>
    <row r="904" spans="1:29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</row>
    <row r="905" spans="1:29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</row>
    <row r="906" spans="1:29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</row>
    <row r="907" spans="1:29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</row>
    <row r="908" spans="1:29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</row>
    <row r="909" spans="1:29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</row>
    <row r="910" spans="1:29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</row>
    <row r="911" spans="1:29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</row>
    <row r="912" spans="1:29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</row>
    <row r="913" spans="1:29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</row>
    <row r="914" spans="1:29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</row>
    <row r="915" spans="1:29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</row>
    <row r="916" spans="1:29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</row>
    <row r="917" spans="1:29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</row>
    <row r="918" spans="1:29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</row>
    <row r="919" spans="1:29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</row>
    <row r="920" spans="1:29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</row>
    <row r="921" spans="1:29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</row>
    <row r="922" spans="1:29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</row>
    <row r="923" spans="1:29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</row>
    <row r="924" spans="1:29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</row>
    <row r="925" spans="1:29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</row>
    <row r="926" spans="1:29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</row>
    <row r="927" spans="1:29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</row>
    <row r="928" spans="1:29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</row>
    <row r="929" spans="1:29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</row>
    <row r="930" spans="1:29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</row>
    <row r="931" spans="1:29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</row>
    <row r="932" spans="1:29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</row>
    <row r="933" spans="1:29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</row>
    <row r="934" spans="1:29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</row>
    <row r="935" spans="1:29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</row>
    <row r="936" spans="1:29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</row>
    <row r="937" spans="1:29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</row>
    <row r="938" spans="1:29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</row>
    <row r="939" spans="1:29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</row>
    <row r="940" spans="1:29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</row>
    <row r="941" spans="1:29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</row>
    <row r="942" spans="1:29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</row>
    <row r="943" spans="1:29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</row>
    <row r="944" spans="1:29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</row>
    <row r="945" spans="1:29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</row>
    <row r="946" spans="1:29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</row>
    <row r="947" spans="1:29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</row>
    <row r="948" spans="1:29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</row>
    <row r="949" spans="1:29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</row>
    <row r="950" spans="1:29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</row>
    <row r="951" spans="1:29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</row>
    <row r="952" spans="1:29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</row>
    <row r="953" spans="1:29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</row>
    <row r="954" spans="1:29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</row>
    <row r="955" spans="1:29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</row>
    <row r="956" spans="1:29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</row>
    <row r="957" spans="1:29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</row>
    <row r="958" spans="1:29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</row>
    <row r="959" spans="1:29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</row>
    <row r="960" spans="1:29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</row>
    <row r="961" spans="1:29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</row>
    <row r="962" spans="1:29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</row>
    <row r="963" spans="1:29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</row>
    <row r="964" spans="1:29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</row>
    <row r="965" spans="1:29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</row>
    <row r="966" spans="1:29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</row>
    <row r="967" spans="1:29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</row>
    <row r="968" spans="1:29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</row>
    <row r="969" spans="1:29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</row>
    <row r="970" spans="1:29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</row>
    <row r="971" spans="1:29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</row>
    <row r="972" spans="1:29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</row>
    <row r="973" spans="1:29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</row>
    <row r="974" spans="1:29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</row>
    <row r="975" spans="1:29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</row>
    <row r="976" spans="1:29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</row>
    <row r="977" spans="1:29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</row>
    <row r="978" spans="1:29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</row>
    <row r="979" spans="1:29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</row>
    <row r="980" spans="1:29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</row>
    <row r="981" spans="1:29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</row>
    <row r="982" spans="1:29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</row>
    <row r="983" spans="1:29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</row>
    <row r="984" spans="1:29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</row>
    <row r="985" spans="1:29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</row>
    <row r="986" spans="1:29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</row>
    <row r="987" spans="1:29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</row>
    <row r="988" spans="1:29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</row>
    <row r="989" spans="1:29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</row>
    <row r="990" spans="1:29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</row>
  </sheetData>
  <mergeCells count="36">
    <mergeCell ref="AA2:AA3"/>
    <mergeCell ref="A1:A3"/>
    <mergeCell ref="B1:B3"/>
    <mergeCell ref="C1:M1"/>
    <mergeCell ref="N1:AB1"/>
    <mergeCell ref="K2:K3"/>
    <mergeCell ref="L2:M2"/>
    <mergeCell ref="V2:V3"/>
    <mergeCell ref="W2:W3"/>
    <mergeCell ref="X2:X3"/>
    <mergeCell ref="AC1:AC3"/>
    <mergeCell ref="C2:C3"/>
    <mergeCell ref="D2:D3"/>
    <mergeCell ref="AB2:AB3"/>
    <mergeCell ref="E2:E3"/>
    <mergeCell ref="F2:F3"/>
    <mergeCell ref="G2:G3"/>
    <mergeCell ref="H2:H3"/>
    <mergeCell ref="I2:I3"/>
    <mergeCell ref="J2:J3"/>
    <mergeCell ref="N2:N3"/>
    <mergeCell ref="O2:O3"/>
    <mergeCell ref="T2:T3"/>
    <mergeCell ref="U2:U3"/>
    <mergeCell ref="Y2:Y3"/>
    <mergeCell ref="Z2:Z3"/>
    <mergeCell ref="M40:O40"/>
    <mergeCell ref="P2:P3"/>
    <mergeCell ref="Q2:Q3"/>
    <mergeCell ref="R2:R3"/>
    <mergeCell ref="S2:S3"/>
    <mergeCell ref="J31:O31"/>
    <mergeCell ref="M32:O32"/>
    <mergeCell ref="M33:O35"/>
    <mergeCell ref="M36:O38"/>
    <mergeCell ref="M39:O39"/>
  </mergeCells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A86E8"/>
  </sheetPr>
  <dimension ref="A1:AC990"/>
  <sheetViews>
    <sheetView topLeftCell="A7" zoomScale="95" zoomScaleNormal="95" workbookViewId="0">
      <selection activeCell="J8" sqref="J8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3" width="10.83203125" customWidth="1"/>
    <col min="4" max="4" width="9.25" customWidth="1"/>
    <col min="5" max="5" width="7.58203125" customWidth="1"/>
    <col min="6" max="6" width="12.83203125" customWidth="1"/>
    <col min="7" max="7" width="9.75" customWidth="1"/>
    <col min="8" max="9" width="7.58203125" customWidth="1"/>
    <col min="10" max="10" width="12.08203125" customWidth="1"/>
    <col min="11" max="11" width="7.58203125" customWidth="1"/>
    <col min="12" max="12" width="10.83203125" customWidth="1"/>
    <col min="13" max="13" width="7.58203125" customWidth="1"/>
    <col min="14" max="14" width="12.5" customWidth="1"/>
    <col min="15" max="15" width="11.08203125" customWidth="1"/>
    <col min="16" max="16" width="11.83203125" customWidth="1"/>
    <col min="17" max="17" width="13.5" customWidth="1"/>
    <col min="18" max="18" width="9.08203125" customWidth="1"/>
    <col min="19" max="19" width="7.58203125" customWidth="1"/>
    <col min="20" max="20" width="18.75" customWidth="1"/>
    <col min="21" max="21" width="10.33203125" customWidth="1"/>
    <col min="22" max="22" width="8.5" customWidth="1"/>
    <col min="23" max="23" width="10.75" customWidth="1"/>
    <col min="24" max="24" width="11.75" customWidth="1"/>
    <col min="25" max="25" width="7.58203125" customWidth="1"/>
    <col min="26" max="26" width="21.33203125" customWidth="1"/>
    <col min="27" max="27" width="8.33203125" customWidth="1"/>
    <col min="28" max="28" width="8.58203125" customWidth="1"/>
    <col min="29" max="29" width="16.58203125" customWidth="1"/>
  </cols>
  <sheetData>
    <row r="1" spans="1:29" ht="14.25" customHeight="1" x14ac:dyDescent="0.3">
      <c r="A1" s="388" t="s">
        <v>0</v>
      </c>
      <c r="B1" s="391" t="s">
        <v>104</v>
      </c>
      <c r="C1" s="392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2"/>
      <c r="N1" s="393" t="s">
        <v>4</v>
      </c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2"/>
      <c r="AC1" s="386" t="s">
        <v>5</v>
      </c>
    </row>
    <row r="2" spans="1:29" ht="14.25" customHeight="1" x14ac:dyDescent="0.3">
      <c r="A2" s="389"/>
      <c r="B2" s="353"/>
      <c r="C2" s="387" t="s">
        <v>6</v>
      </c>
      <c r="D2" s="387" t="s">
        <v>7</v>
      </c>
      <c r="E2" s="387" t="s">
        <v>8</v>
      </c>
      <c r="F2" s="387" t="s">
        <v>9</v>
      </c>
      <c r="G2" s="387" t="s">
        <v>7</v>
      </c>
      <c r="H2" s="387" t="s">
        <v>8</v>
      </c>
      <c r="I2" s="387" t="s">
        <v>105</v>
      </c>
      <c r="J2" s="387" t="s">
        <v>7</v>
      </c>
      <c r="K2" s="387" t="s">
        <v>8</v>
      </c>
      <c r="L2" s="394" t="s">
        <v>11</v>
      </c>
      <c r="M2" s="372"/>
      <c r="N2" s="385" t="s">
        <v>12</v>
      </c>
      <c r="O2" s="385" t="s">
        <v>7</v>
      </c>
      <c r="P2" s="385" t="s">
        <v>8</v>
      </c>
      <c r="Q2" s="385" t="s">
        <v>13</v>
      </c>
      <c r="R2" s="385" t="s">
        <v>7</v>
      </c>
      <c r="S2" s="385" t="s">
        <v>8</v>
      </c>
      <c r="T2" s="385" t="s">
        <v>14</v>
      </c>
      <c r="U2" s="385" t="s">
        <v>7</v>
      </c>
      <c r="V2" s="385" t="s">
        <v>8</v>
      </c>
      <c r="W2" s="385" t="s">
        <v>15</v>
      </c>
      <c r="X2" s="385" t="s">
        <v>7</v>
      </c>
      <c r="Y2" s="385" t="s">
        <v>8</v>
      </c>
      <c r="Z2" s="385" t="s">
        <v>16</v>
      </c>
      <c r="AA2" s="385" t="s">
        <v>7</v>
      </c>
      <c r="AB2" s="385" t="s">
        <v>8</v>
      </c>
      <c r="AC2" s="353"/>
    </row>
    <row r="3" spans="1:29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75" t="s">
        <v>17</v>
      </c>
      <c r="M3" s="75" t="s">
        <v>8</v>
      </c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</row>
    <row r="4" spans="1:29" ht="14.25" customHeight="1" x14ac:dyDescent="0.3">
      <c r="A4" s="187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29" ht="14.25" customHeight="1" x14ac:dyDescent="0.3">
      <c r="A5" s="79"/>
      <c r="B5" s="79" t="s">
        <v>106</v>
      </c>
      <c r="C5" s="80" t="s">
        <v>107</v>
      </c>
      <c r="D5" s="111">
        <f>Utilitas!D5/Utilitas!C30</f>
        <v>1.095049968418018E-4</v>
      </c>
      <c r="E5" s="188" t="s">
        <v>199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29" ht="14.25" customHeight="1" x14ac:dyDescent="0.3">
      <c r="A6" s="79"/>
      <c r="B6" s="79" t="s">
        <v>108</v>
      </c>
      <c r="C6" s="80" t="s">
        <v>109</v>
      </c>
      <c r="D6" s="111">
        <f>Utilitas!D6/Utilitas!C30</f>
        <v>1.9087843472699963E-2</v>
      </c>
      <c r="E6" s="188" t="s">
        <v>209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0" t="s">
        <v>111</v>
      </c>
      <c r="R6" s="111">
        <f>Utilitas!R6/Utilitas!C30</f>
        <v>1.9087843472699963E-2</v>
      </c>
      <c r="S6" s="188" t="s">
        <v>209</v>
      </c>
      <c r="T6" s="78"/>
      <c r="U6" s="78"/>
      <c r="V6" s="78"/>
      <c r="W6" s="78"/>
      <c r="X6" s="78"/>
      <c r="Y6" s="78"/>
      <c r="Z6" s="80" t="s">
        <v>112</v>
      </c>
      <c r="AA6" s="111">
        <f>Utilitas!AA6/Utilitas!C30*1000</f>
        <v>3.8175686945399933E-4</v>
      </c>
      <c r="AB6" s="188" t="s">
        <v>203</v>
      </c>
      <c r="AC6" s="79"/>
    </row>
    <row r="7" spans="1:29" ht="14.25" customHeight="1" x14ac:dyDescent="0.3">
      <c r="A7" s="79"/>
      <c r="B7" s="79"/>
      <c r="C7" s="80" t="s">
        <v>113</v>
      </c>
      <c r="D7" s="111">
        <f>Utilitas!D7/Utilitas!C30</f>
        <v>3.8175686945399923E-5</v>
      </c>
      <c r="E7" s="188" t="s">
        <v>202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112"/>
      <c r="AB7" s="78"/>
      <c r="AC7" s="79"/>
    </row>
    <row r="8" spans="1:29" ht="14.25" customHeight="1" x14ac:dyDescent="0.3">
      <c r="A8" s="79"/>
      <c r="B8" s="79" t="s">
        <v>114</v>
      </c>
      <c r="C8" s="78"/>
      <c r="D8" s="85"/>
      <c r="E8" s="85"/>
      <c r="F8" s="80" t="s">
        <v>22</v>
      </c>
      <c r="G8" s="111">
        <f>(Utilitas!G8/Utilitas!C30)*0.88</f>
        <v>6.6825250072615507E-3</v>
      </c>
      <c r="H8" s="188" t="s">
        <v>203</v>
      </c>
      <c r="I8" s="78"/>
      <c r="J8" s="78"/>
      <c r="K8" s="78"/>
      <c r="L8" s="78"/>
      <c r="M8" s="78"/>
      <c r="N8" s="87" t="s">
        <v>24</v>
      </c>
      <c r="O8" s="111">
        <f>Utilitas!O8/Utilitas!C30*1000</f>
        <v>3.4084522550674234E-5</v>
      </c>
      <c r="P8" s="20" t="s">
        <v>205</v>
      </c>
      <c r="Q8" s="78"/>
      <c r="R8" s="78"/>
      <c r="S8" s="78"/>
      <c r="T8" s="78"/>
      <c r="U8" s="78"/>
      <c r="V8" s="78"/>
      <c r="W8" s="78"/>
      <c r="X8" s="78"/>
      <c r="Y8" s="78"/>
      <c r="Z8" s="78"/>
      <c r="AA8" s="112"/>
      <c r="AB8" s="78"/>
      <c r="AC8" s="79"/>
    </row>
    <row r="9" spans="1:29" ht="14.25" customHeight="1" x14ac:dyDescent="0.3">
      <c r="A9" s="76"/>
      <c r="B9" s="79"/>
      <c r="C9" s="78"/>
      <c r="D9" s="85"/>
      <c r="E9" s="85"/>
      <c r="F9" s="78"/>
      <c r="G9" s="85"/>
      <c r="H9" s="85"/>
      <c r="I9" s="78"/>
      <c r="J9" s="89"/>
      <c r="K9" s="78"/>
      <c r="L9" s="78"/>
      <c r="M9" s="78"/>
      <c r="N9" s="87" t="s">
        <v>29</v>
      </c>
      <c r="O9" s="111">
        <f>Utilitas!O9/Utilitas!C30*1000</f>
        <v>5.1831000461322041E-4</v>
      </c>
      <c r="P9" s="18" t="s">
        <v>206</v>
      </c>
      <c r="Q9" s="78"/>
      <c r="R9" s="78"/>
      <c r="S9" s="78"/>
      <c r="T9" s="78"/>
      <c r="U9" s="78"/>
      <c r="V9" s="78"/>
      <c r="W9" s="78"/>
      <c r="X9" s="78"/>
      <c r="Y9" s="78"/>
      <c r="Z9" s="90"/>
      <c r="AA9" s="112"/>
      <c r="AB9" s="92"/>
      <c r="AC9" s="79"/>
    </row>
    <row r="10" spans="1:29" ht="14.25" customHeight="1" x14ac:dyDescent="0.3">
      <c r="A10" s="76"/>
      <c r="B10" s="79"/>
      <c r="C10" s="78"/>
      <c r="D10" s="85"/>
      <c r="E10" s="85"/>
      <c r="F10" s="78"/>
      <c r="G10" s="85"/>
      <c r="H10" s="85"/>
      <c r="I10" s="78"/>
      <c r="J10" s="89"/>
      <c r="K10" s="78"/>
      <c r="L10" s="78"/>
      <c r="M10" s="78"/>
      <c r="N10" s="87" t="s">
        <v>31</v>
      </c>
      <c r="O10" s="111">
        <f>Utilitas!O10/Utilitas!C30*1000</f>
        <v>2.0257163306103308E-2</v>
      </c>
      <c r="P10" s="18" t="s">
        <v>207</v>
      </c>
      <c r="Q10" s="78"/>
      <c r="R10" s="78"/>
      <c r="S10" s="78"/>
      <c r="T10" s="78"/>
      <c r="U10" s="78"/>
      <c r="V10" s="78"/>
      <c r="W10" s="78"/>
      <c r="X10" s="78"/>
      <c r="Y10" s="78"/>
      <c r="Z10" s="90"/>
      <c r="AA10" s="112"/>
      <c r="AB10" s="92"/>
      <c r="AC10" s="79"/>
    </row>
    <row r="11" spans="1:29" ht="14.25" customHeight="1" x14ac:dyDescent="0.3">
      <c r="A11" s="76"/>
      <c r="B11" s="79"/>
      <c r="C11" s="78"/>
      <c r="D11" s="85"/>
      <c r="E11" s="85"/>
      <c r="F11" s="78"/>
      <c r="G11" s="85"/>
      <c r="H11" s="85"/>
      <c r="I11" s="78"/>
      <c r="J11" s="89"/>
      <c r="K11" s="78"/>
      <c r="L11" s="78"/>
      <c r="M11" s="78"/>
      <c r="N11" s="78"/>
      <c r="O11" s="113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90"/>
      <c r="AA11" s="112"/>
      <c r="AB11" s="92"/>
      <c r="AC11" s="79"/>
    </row>
    <row r="12" spans="1:29" ht="14.25" customHeight="1" x14ac:dyDescent="0.3">
      <c r="A12" s="76"/>
      <c r="B12" s="79"/>
      <c r="C12" s="78"/>
      <c r="D12" s="85"/>
      <c r="E12" s="85"/>
      <c r="F12" s="78"/>
      <c r="G12" s="85"/>
      <c r="H12" s="85"/>
      <c r="I12" s="78"/>
      <c r="J12" s="89"/>
      <c r="K12" s="78"/>
      <c r="L12" s="78"/>
      <c r="M12" s="78"/>
      <c r="N12" s="78"/>
      <c r="O12" s="113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90"/>
      <c r="AA12" s="112"/>
      <c r="AB12" s="92"/>
      <c r="AC12" s="79"/>
    </row>
    <row r="13" spans="1:29" ht="14.25" customHeight="1" x14ac:dyDescent="0.3">
      <c r="A13" s="187">
        <v>2</v>
      </c>
      <c r="B13" s="77" t="s">
        <v>101</v>
      </c>
      <c r="C13" s="78"/>
      <c r="D13" s="85"/>
      <c r="E13" s="85"/>
      <c r="F13" s="80" t="s">
        <v>22</v>
      </c>
      <c r="G13" s="111">
        <f>(Utilitas!G13/Utilitas!C30)*0.88</f>
        <v>1.3651443943405738E-2</v>
      </c>
      <c r="H13" s="188" t="s">
        <v>203</v>
      </c>
      <c r="I13" s="80" t="s">
        <v>115</v>
      </c>
      <c r="J13" s="81">
        <f>Utilitas!J13/Utilitas!C30</f>
        <v>5.3429011325306891E-2</v>
      </c>
      <c r="K13" s="188" t="s">
        <v>203</v>
      </c>
      <c r="L13" s="78"/>
      <c r="M13" s="78"/>
      <c r="N13" s="87" t="s">
        <v>24</v>
      </c>
      <c r="O13" s="111">
        <f>Utilitas!O13/Utilitas!C30*1000</f>
        <v>6.9629810353520215E-5</v>
      </c>
      <c r="P13" s="20" t="s">
        <v>205</v>
      </c>
      <c r="Q13" s="78"/>
      <c r="R13" s="78"/>
      <c r="S13" s="78"/>
      <c r="T13" s="78"/>
      <c r="U13" s="78"/>
      <c r="V13" s="78"/>
      <c r="W13" s="80" t="s">
        <v>116</v>
      </c>
      <c r="X13" s="193">
        <f>(Utilitas!X13/Utilitas!C30)</f>
        <v>3.6329210656642426E-3</v>
      </c>
      <c r="Y13" s="188" t="s">
        <v>200</v>
      </c>
      <c r="Z13" s="95" t="s">
        <v>117</v>
      </c>
      <c r="AA13" s="111">
        <f>Utilitas!AA13/Utilitas!C30*1000</f>
        <v>1.0685802265061379E-4</v>
      </c>
      <c r="AB13" s="188" t="s">
        <v>203</v>
      </c>
      <c r="AC13" s="79"/>
    </row>
    <row r="14" spans="1:29" ht="14.25" customHeight="1" x14ac:dyDescent="0.3">
      <c r="A14" s="79"/>
      <c r="B14" s="79"/>
      <c r="C14" s="78"/>
      <c r="D14" s="85"/>
      <c r="E14" s="85"/>
      <c r="F14" s="78"/>
      <c r="G14" s="85"/>
      <c r="H14" s="85"/>
      <c r="I14" s="80" t="s">
        <v>118</v>
      </c>
      <c r="J14" s="81">
        <f>Utilitas!J14/Utilitas!C30</f>
        <v>1.9642121495572963E-2</v>
      </c>
      <c r="K14" s="188" t="s">
        <v>203</v>
      </c>
      <c r="L14" s="78"/>
      <c r="M14" s="78"/>
      <c r="N14" s="87" t="s">
        <v>29</v>
      </c>
      <c r="O14" s="111">
        <f>Utilitas!O14/Utilitas!C30*1000</f>
        <v>1.058833295138436E-3</v>
      </c>
      <c r="P14" s="18" t="s">
        <v>206</v>
      </c>
      <c r="Q14" s="78"/>
      <c r="R14" s="78"/>
      <c r="S14" s="78"/>
      <c r="T14" s="78"/>
      <c r="U14" s="78"/>
      <c r="V14" s="78"/>
      <c r="W14" s="80" t="s">
        <v>119</v>
      </c>
      <c r="X14" s="227">
        <f>(Utilitas!X14/Utilitas!C30)/1000000</f>
        <v>6.5392579181956365E-8</v>
      </c>
      <c r="Y14" s="188" t="s">
        <v>203</v>
      </c>
      <c r="Z14" s="95" t="s">
        <v>121</v>
      </c>
      <c r="AA14" s="111">
        <f>Utilitas!AA14/Utilitas!C30*1000</f>
        <v>3.9284242991145927E-5</v>
      </c>
      <c r="AB14" s="188" t="s">
        <v>203</v>
      </c>
      <c r="AC14" s="79"/>
    </row>
    <row r="15" spans="1:29" ht="14.25" customHeight="1" x14ac:dyDescent="0.3">
      <c r="A15" s="79"/>
      <c r="B15" s="79"/>
      <c r="C15" s="78"/>
      <c r="D15" s="85"/>
      <c r="E15" s="85"/>
      <c r="F15" s="78"/>
      <c r="G15" s="85"/>
      <c r="H15" s="85"/>
      <c r="I15" s="78"/>
      <c r="J15" s="78"/>
      <c r="K15" s="78"/>
      <c r="L15" s="78"/>
      <c r="M15" s="78"/>
      <c r="N15" s="87" t="s">
        <v>31</v>
      </c>
      <c r="O15" s="111">
        <f>Utilitas!O15/Utilitas!C30*1000</f>
        <v>4.1382490753896758E-2</v>
      </c>
      <c r="P15" s="18" t="s">
        <v>207</v>
      </c>
      <c r="Q15" s="78"/>
      <c r="R15" s="78"/>
      <c r="S15" s="78"/>
      <c r="T15" s="78"/>
      <c r="U15" s="78"/>
      <c r="V15" s="78"/>
      <c r="W15" s="80" t="s">
        <v>122</v>
      </c>
      <c r="X15" s="227">
        <f>(Utilitas!X15/Utilitas!C30)/1000000</f>
        <v>7.2658421313284858E-11</v>
      </c>
      <c r="Y15" s="188" t="s">
        <v>203</v>
      </c>
      <c r="Z15" s="78"/>
      <c r="AA15" s="97"/>
      <c r="AB15" s="78"/>
      <c r="AC15" s="79"/>
    </row>
    <row r="16" spans="1:29" ht="14.25" customHeight="1" x14ac:dyDescent="0.3">
      <c r="A16" s="98"/>
      <c r="B16" s="98"/>
      <c r="C16" s="84"/>
      <c r="D16" s="99"/>
      <c r="E16" s="99"/>
      <c r="F16" s="84"/>
      <c r="G16" s="99"/>
      <c r="H16" s="99"/>
      <c r="I16" s="84"/>
      <c r="J16" s="84"/>
      <c r="K16" s="84"/>
      <c r="L16" s="84"/>
      <c r="M16" s="84"/>
      <c r="N16" s="84"/>
      <c r="O16" s="115"/>
      <c r="P16" s="84"/>
      <c r="Q16" s="84"/>
      <c r="R16" s="84"/>
      <c r="S16" s="84"/>
      <c r="T16" s="84"/>
      <c r="U16" s="84"/>
      <c r="V16" s="84"/>
      <c r="W16" s="101" t="s">
        <v>123</v>
      </c>
      <c r="X16" s="228">
        <f>(Utilitas!X16/Utilitas!C30)/1000000</f>
        <v>3.2696289590978188E-9</v>
      </c>
      <c r="Y16" s="188" t="s">
        <v>203</v>
      </c>
      <c r="Z16" s="84"/>
      <c r="AA16" s="84"/>
      <c r="AB16" s="84"/>
      <c r="AC16" s="98"/>
    </row>
    <row r="17" spans="1:29" ht="12.75" customHeight="1" x14ac:dyDescent="0.3">
      <c r="A17" s="103"/>
      <c r="B17" s="98"/>
      <c r="C17" s="84"/>
      <c r="D17" s="99"/>
      <c r="E17" s="99"/>
      <c r="F17" s="84"/>
      <c r="G17" s="99"/>
      <c r="H17" s="99"/>
      <c r="I17" s="84"/>
      <c r="J17" s="84"/>
      <c r="K17" s="84"/>
      <c r="L17" s="84"/>
      <c r="M17" s="84"/>
      <c r="N17" s="84"/>
      <c r="O17" s="115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98"/>
    </row>
    <row r="18" spans="1:29" ht="12.75" customHeight="1" x14ac:dyDescent="0.3">
      <c r="A18" s="187">
        <v>3</v>
      </c>
      <c r="B18" s="104" t="s">
        <v>102</v>
      </c>
      <c r="C18" s="78"/>
      <c r="D18" s="85"/>
      <c r="E18" s="85"/>
      <c r="F18" s="79" t="s">
        <v>22</v>
      </c>
      <c r="G18" s="116">
        <f>(Utilitas!G18/Utilitas!C30)*0.88</f>
        <v>2.2169610837840557</v>
      </c>
      <c r="H18" s="188" t="s">
        <v>203</v>
      </c>
      <c r="I18" s="78"/>
      <c r="J18" s="78"/>
      <c r="K18" s="78"/>
      <c r="L18" s="117">
        <f>(Utilitas!L18/Utilitas!C30)*1000</f>
        <v>0.74084902239595096</v>
      </c>
      <c r="M18" s="190" t="s">
        <v>203</v>
      </c>
      <c r="N18" s="87" t="s">
        <v>24</v>
      </c>
      <c r="O18" s="117">
        <f>Utilitas!O18/Utilitas!C30*1000</f>
        <v>1.130771077879893E-2</v>
      </c>
      <c r="P18" s="20" t="s">
        <v>205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9"/>
    </row>
    <row r="19" spans="1:29" ht="14.25" customHeight="1" x14ac:dyDescent="0.3">
      <c r="A19" s="79"/>
      <c r="B19" s="77"/>
      <c r="C19" s="78"/>
      <c r="D19" s="85"/>
      <c r="E19" s="85"/>
      <c r="F19" s="78"/>
      <c r="G19" s="107"/>
      <c r="H19" s="78"/>
      <c r="I19" s="78"/>
      <c r="J19" s="78"/>
      <c r="K19" s="78"/>
      <c r="L19" s="78"/>
      <c r="M19" s="78"/>
      <c r="N19" s="87" t="s">
        <v>29</v>
      </c>
      <c r="O19" s="117">
        <f>Utilitas!O19/Utilitas!C30*1000</f>
        <v>0.17195193558045893</v>
      </c>
      <c r="P19" s="18" t="s">
        <v>206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9"/>
    </row>
    <row r="20" spans="1:29" ht="14.25" customHeight="1" x14ac:dyDescent="0.3">
      <c r="A20" s="79"/>
      <c r="B20" s="77"/>
      <c r="C20" s="78"/>
      <c r="D20" s="85"/>
      <c r="E20" s="85"/>
      <c r="F20" s="78"/>
      <c r="G20" s="107"/>
      <c r="H20" s="78"/>
      <c r="I20" s="78"/>
      <c r="J20" s="78"/>
      <c r="K20" s="78"/>
      <c r="L20" s="78"/>
      <c r="M20" s="78"/>
      <c r="N20" s="87" t="s">
        <v>31</v>
      </c>
      <c r="O20" s="117">
        <f>Utilitas!O20/Utilitas!C30*1000</f>
        <v>6.7204152126163024</v>
      </c>
      <c r="P20" s="18" t="s">
        <v>207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9"/>
    </row>
    <row r="21" spans="1:29" ht="14.25" customHeight="1" x14ac:dyDescent="0.3">
      <c r="A21" s="79"/>
      <c r="B21" s="77"/>
      <c r="C21" s="78"/>
      <c r="D21" s="85"/>
      <c r="E21" s="85"/>
      <c r="F21" s="78"/>
      <c r="G21" s="107"/>
      <c r="H21" s="78"/>
      <c r="I21" s="78"/>
      <c r="J21" s="78"/>
      <c r="K21" s="78"/>
      <c r="L21" s="78"/>
      <c r="M21" s="78"/>
      <c r="N21" s="78"/>
      <c r="O21" s="85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1:29" ht="14.25" customHeight="1" x14ac:dyDescent="0.3">
      <c r="A22" s="187">
        <v>4</v>
      </c>
      <c r="B22" s="77" t="s">
        <v>103</v>
      </c>
      <c r="C22" s="80" t="s">
        <v>124</v>
      </c>
      <c r="D22" s="111">
        <f>Utilitas!D22/Utilitas!C30*1000*0.88</f>
        <v>0.21396490426821876</v>
      </c>
      <c r="E22" s="188" t="s">
        <v>203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80" t="s">
        <v>124</v>
      </c>
      <c r="U22" s="194">
        <f>Utilitas!U22/Utilitas!C30*1000*0.88</f>
        <v>0.18830400824033441</v>
      </c>
      <c r="V22" s="188" t="s">
        <v>203</v>
      </c>
      <c r="W22" s="78"/>
      <c r="X22" s="78"/>
      <c r="Y22" s="78"/>
      <c r="Z22" s="78"/>
      <c r="AA22" s="78"/>
      <c r="AB22" s="78"/>
      <c r="AC22" s="79"/>
    </row>
    <row r="23" spans="1:29" ht="14.25" customHeight="1" x14ac:dyDescent="0.3">
      <c r="A23" s="79"/>
      <c r="B23" s="79"/>
      <c r="C23" s="108" t="s">
        <v>125</v>
      </c>
      <c r="D23" s="111">
        <f>Utilitas!D23/Utilitas!C30*1000</f>
        <v>2.3811919465810231E-3</v>
      </c>
      <c r="E23" s="188" t="s">
        <v>203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8" t="s">
        <v>125</v>
      </c>
      <c r="U23" s="111">
        <f>Utilitas!U23/Utilitas!C30*1000</f>
        <v>2.3811919465810231E-3</v>
      </c>
      <c r="V23" s="188" t="s">
        <v>203</v>
      </c>
      <c r="W23" s="78"/>
      <c r="X23" s="78"/>
      <c r="Y23" s="78"/>
      <c r="Z23" s="78"/>
      <c r="AA23" s="78"/>
      <c r="AB23" s="78"/>
      <c r="AC23" s="79"/>
    </row>
    <row r="24" spans="1:29" ht="14.25" customHeight="1" x14ac:dyDescent="0.3">
      <c r="A24" s="79"/>
      <c r="B24" s="79"/>
      <c r="C24" s="108" t="s">
        <v>126</v>
      </c>
      <c r="D24" s="111">
        <f>Utilitas!D24/Utilitas!C30*1000</f>
        <v>2.6502286676525925E-2</v>
      </c>
      <c r="E24" s="188" t="s">
        <v>203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8" t="s">
        <v>126</v>
      </c>
      <c r="U24" s="111">
        <f>Utilitas!U24/Utilitas!C30*1000</f>
        <v>2.6502286676525925E-2</v>
      </c>
      <c r="V24" s="188" t="s">
        <v>203</v>
      </c>
      <c r="W24" s="78"/>
      <c r="X24" s="78"/>
      <c r="Y24" s="78"/>
      <c r="Z24" s="78"/>
      <c r="AA24" s="78"/>
      <c r="AB24" s="78"/>
      <c r="AC24" s="79"/>
    </row>
    <row r="25" spans="1:29" ht="14.25" customHeight="1" x14ac:dyDescent="0.3">
      <c r="A25" s="79"/>
      <c r="B25" s="79"/>
      <c r="C25" s="80" t="s">
        <v>127</v>
      </c>
      <c r="D25" s="111">
        <f>Utilitas!D25/Utilitas!C30*1000</f>
        <v>4.7189908736343759E-3</v>
      </c>
      <c r="E25" s="188" t="s">
        <v>203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80" t="s">
        <v>127</v>
      </c>
      <c r="U25" s="111">
        <f>Utilitas!U25/Utilitas!C30*1000</f>
        <v>4.7189908736343759E-3</v>
      </c>
      <c r="V25" s="188" t="s">
        <v>203</v>
      </c>
      <c r="W25" s="78"/>
      <c r="X25" s="78"/>
      <c r="Y25" s="78"/>
      <c r="Z25" s="78"/>
      <c r="AA25" s="78"/>
      <c r="AB25" s="78"/>
      <c r="AC25" s="79"/>
    </row>
    <row r="26" spans="1:29" ht="14.25" customHeight="1" x14ac:dyDescent="0.3">
      <c r="A26" s="79"/>
      <c r="B26" s="79"/>
      <c r="C26" s="108" t="s">
        <v>128</v>
      </c>
      <c r="D26" s="118">
        <f>Utilitas!D26/Utilitas!C30*1000</f>
        <v>5.0335902652099982E-3</v>
      </c>
      <c r="E26" s="188" t="s">
        <v>203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8" t="s">
        <v>128</v>
      </c>
      <c r="U26" s="111">
        <f>Utilitas!U26/Utilitas!C30*1000</f>
        <v>5.0335902652099982E-3</v>
      </c>
      <c r="V26" s="188" t="s">
        <v>203</v>
      </c>
      <c r="W26" s="78"/>
      <c r="X26" s="78"/>
      <c r="Y26" s="78"/>
      <c r="Z26" s="78"/>
      <c r="AA26" s="78"/>
      <c r="AB26" s="78"/>
      <c r="AC26" s="79"/>
    </row>
    <row r="27" spans="1:29" ht="14.25" customHeight="1" x14ac:dyDescent="0.3">
      <c r="A27" s="79"/>
      <c r="B27" s="79"/>
      <c r="C27" s="108" t="s">
        <v>129</v>
      </c>
      <c r="D27" s="111">
        <f>Utilitas!D27/Utilitas!C30*1000</f>
        <v>1.3180597136765854E-2</v>
      </c>
      <c r="E27" s="188" t="s">
        <v>203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8" t="s">
        <v>129</v>
      </c>
      <c r="U27" s="111">
        <f>Utilitas!U27/Utilitas!C30*1000</f>
        <v>1.3180597136765854E-2</v>
      </c>
      <c r="V27" s="188" t="s">
        <v>203</v>
      </c>
      <c r="W27" s="78"/>
      <c r="X27" s="78"/>
      <c r="Y27" s="78"/>
      <c r="Z27" s="78"/>
      <c r="AA27" s="78"/>
      <c r="AB27" s="78"/>
      <c r="AC27" s="79"/>
    </row>
    <row r="28" spans="1:29" ht="14.25" customHeight="1" x14ac:dyDescent="0.3">
      <c r="A28" s="79"/>
      <c r="B28" s="79"/>
      <c r="C28" s="80" t="s">
        <v>130</v>
      </c>
      <c r="D28" s="111">
        <f>Utilitas!D28/Utilitas!C30*1000</f>
        <v>1.4428178992951074E-3</v>
      </c>
      <c r="E28" s="188" t="s">
        <v>203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80" t="s">
        <v>130</v>
      </c>
      <c r="U28" s="111">
        <f>Utilitas!U28/Utilitas!C30*1000</f>
        <v>1.4428178992951074E-3</v>
      </c>
      <c r="V28" s="188" t="s">
        <v>203</v>
      </c>
      <c r="W28" s="78"/>
      <c r="X28" s="78"/>
      <c r="Y28" s="78"/>
      <c r="Z28" s="78"/>
      <c r="AA28" s="78"/>
      <c r="AB28" s="78"/>
      <c r="AC28" s="79"/>
    </row>
    <row r="29" spans="1:29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29" ht="14.25" customHeight="1" x14ac:dyDescent="0.3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29" ht="14.25" customHeight="1" x14ac:dyDescent="0.3">
      <c r="A31" s="109"/>
      <c r="B31" s="109"/>
      <c r="C31" s="109"/>
      <c r="D31" s="109"/>
      <c r="E31" s="109"/>
      <c r="F31" s="109"/>
      <c r="G31" s="109"/>
      <c r="H31" s="109"/>
      <c r="I31" s="109"/>
      <c r="J31" s="119"/>
      <c r="K31" s="119"/>
      <c r="L31" s="119"/>
      <c r="M31" s="119"/>
      <c r="N31" s="119"/>
      <c r="O31" s="11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29" ht="14.25" customHeight="1" x14ac:dyDescent="0.3">
      <c r="A32" s="109"/>
      <c r="B32" s="109"/>
      <c r="C32" s="109"/>
      <c r="D32" s="109"/>
      <c r="E32" s="109"/>
      <c r="F32" s="109"/>
      <c r="G32" s="109"/>
      <c r="H32" s="109"/>
      <c r="I32" s="109"/>
      <c r="J32" s="120"/>
      <c r="K32" s="119"/>
      <c r="L32" s="119"/>
      <c r="M32" s="119"/>
      <c r="N32" s="119"/>
      <c r="O32" s="11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4.2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21"/>
      <c r="K33" s="67"/>
      <c r="L33" s="121"/>
      <c r="M33" s="119"/>
      <c r="N33" s="119"/>
      <c r="O33" s="11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4.25" customHeight="1" x14ac:dyDescent="0.3">
      <c r="A34" s="109"/>
      <c r="B34" s="109"/>
      <c r="C34" s="109"/>
      <c r="D34" s="109"/>
      <c r="E34" s="109"/>
      <c r="F34" s="109"/>
      <c r="G34" s="109"/>
      <c r="H34" s="109"/>
      <c r="I34" s="109"/>
      <c r="J34" s="121"/>
      <c r="K34" s="67"/>
      <c r="L34" s="121"/>
      <c r="M34" s="119"/>
      <c r="N34" s="119"/>
      <c r="O34" s="11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4.25" customHeight="1" x14ac:dyDescent="0.3">
      <c r="A35" s="109"/>
      <c r="B35" s="109"/>
      <c r="C35" s="109"/>
      <c r="D35" s="109"/>
      <c r="E35" s="109"/>
      <c r="F35" s="109"/>
      <c r="G35" s="109"/>
      <c r="H35" s="109"/>
      <c r="I35" s="109"/>
      <c r="J35" s="121"/>
      <c r="K35" s="67"/>
      <c r="L35" s="121"/>
      <c r="M35" s="119"/>
      <c r="N35" s="119"/>
      <c r="O35" s="11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ht="14.25" customHeight="1" x14ac:dyDescent="0.3">
      <c r="A36" s="109"/>
      <c r="B36" s="109"/>
      <c r="C36" s="109"/>
      <c r="D36" s="109"/>
      <c r="E36" s="109"/>
      <c r="F36" s="109"/>
      <c r="G36" s="109"/>
      <c r="H36" s="109"/>
      <c r="I36" s="109"/>
      <c r="J36" s="121"/>
      <c r="K36" s="67"/>
      <c r="L36" s="121"/>
      <c r="M36" s="119"/>
      <c r="N36" s="119"/>
      <c r="O36" s="11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ht="14.25" customHeight="1" x14ac:dyDescent="0.3">
      <c r="A37" s="109"/>
      <c r="B37" s="109"/>
      <c r="C37" s="109"/>
      <c r="D37" s="109"/>
      <c r="E37" s="109"/>
      <c r="F37" s="109"/>
      <c r="G37" s="109"/>
      <c r="H37" s="109"/>
      <c r="I37" s="109"/>
      <c r="J37" s="121"/>
      <c r="K37" s="67"/>
      <c r="L37" s="121"/>
      <c r="M37" s="119"/>
      <c r="N37" s="119"/>
      <c r="O37" s="11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ht="14.25" customHeight="1" x14ac:dyDescent="0.3">
      <c r="A38" s="109"/>
      <c r="B38" s="109"/>
      <c r="C38" s="109"/>
      <c r="D38" s="109"/>
      <c r="E38" s="109"/>
      <c r="F38" s="109"/>
      <c r="G38" s="109"/>
      <c r="H38" s="109"/>
      <c r="I38" s="109"/>
      <c r="J38" s="121"/>
      <c r="K38" s="67"/>
      <c r="L38" s="121"/>
      <c r="M38" s="119"/>
      <c r="N38" s="119"/>
      <c r="O38" s="11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ht="14.25" customHeight="1" x14ac:dyDescent="0.35">
      <c r="A39" s="109"/>
      <c r="B39" s="109"/>
      <c r="C39" s="109"/>
      <c r="D39" s="109"/>
      <c r="E39" s="109"/>
      <c r="F39" s="109"/>
      <c r="G39" s="109"/>
      <c r="H39" s="109"/>
      <c r="I39" s="109"/>
      <c r="J39" s="120"/>
      <c r="K39" s="119"/>
      <c r="L39" s="68"/>
      <c r="M39" s="69"/>
      <c r="N39" s="69"/>
      <c r="O39" s="6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ht="14.25" customHeight="1" x14ac:dyDescent="0.35">
      <c r="A40" s="109"/>
      <c r="B40" s="109"/>
      <c r="C40" s="109"/>
      <c r="D40" s="109"/>
      <c r="E40" s="109"/>
      <c r="F40" s="109"/>
      <c r="G40" s="109"/>
      <c r="H40" s="109"/>
      <c r="I40" s="109"/>
      <c r="J40" s="66"/>
      <c r="K40" s="67"/>
      <c r="L40" s="68"/>
      <c r="M40" s="69"/>
      <c r="N40" s="69"/>
      <c r="O40" s="6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ht="14.25" customHeight="1" x14ac:dyDescent="0.3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ht="14.25" customHeight="1" x14ac:dyDescent="0.3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ht="14.25" customHeight="1" x14ac:dyDescent="0.3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ht="14.25" customHeight="1" x14ac:dyDescent="0.3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14.25" customHeight="1" x14ac:dyDescent="0.3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29" ht="14.25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  <row r="47" spans="1:29" ht="14.25" customHeight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</row>
    <row r="48" spans="1:29" ht="14.25" customHeight="1" x14ac:dyDescent="0.3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</row>
    <row r="49" spans="1:29" ht="14.25" customHeight="1" x14ac:dyDescent="0.3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</row>
    <row r="50" spans="1:29" ht="14.25" customHeigh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14.25" customHeigh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14.2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14.25" customHeight="1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</row>
    <row r="54" spans="1:29" ht="14.25" customHeight="1" x14ac:dyDescent="0.3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</row>
    <row r="55" spans="1:29" ht="14.2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</row>
    <row r="56" spans="1:29" ht="14.25" customHeight="1" x14ac:dyDescent="0.3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</row>
    <row r="57" spans="1:29" ht="14.25" customHeight="1" x14ac:dyDescent="0.3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</row>
    <row r="58" spans="1:29" ht="14.25" customHeight="1" x14ac:dyDescent="0.3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</row>
    <row r="59" spans="1:29" ht="14.25" customHeight="1" x14ac:dyDescent="0.3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</row>
    <row r="60" spans="1:29" ht="14.25" customHeight="1" x14ac:dyDescent="0.3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</row>
    <row r="61" spans="1:29" ht="14.25" customHeight="1" x14ac:dyDescent="0.3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</row>
    <row r="62" spans="1:29" ht="14.25" customHeight="1" x14ac:dyDescent="0.3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</row>
    <row r="63" spans="1:29" ht="14.25" customHeight="1" x14ac:dyDescent="0.3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</row>
    <row r="64" spans="1:29" ht="14.25" customHeight="1" x14ac:dyDescent="0.3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</row>
    <row r="65" spans="1:29" ht="14.25" customHeight="1" x14ac:dyDescent="0.3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</row>
    <row r="66" spans="1:29" ht="14.25" customHeight="1" x14ac:dyDescent="0.3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</row>
    <row r="67" spans="1:29" ht="14.25" customHeight="1" x14ac:dyDescent="0.3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</row>
    <row r="68" spans="1:29" ht="14.25" customHeight="1" x14ac:dyDescent="0.3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</row>
    <row r="69" spans="1:29" ht="14.25" customHeight="1" x14ac:dyDescent="0.3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</row>
    <row r="70" spans="1:29" ht="14.25" customHeight="1" x14ac:dyDescent="0.3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</row>
    <row r="71" spans="1:29" ht="14.25" customHeight="1" x14ac:dyDescent="0.3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</row>
    <row r="72" spans="1:29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</row>
    <row r="73" spans="1:29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</row>
    <row r="74" spans="1:29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</row>
    <row r="75" spans="1:29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</row>
    <row r="76" spans="1:29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</row>
    <row r="77" spans="1:29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</row>
    <row r="78" spans="1:29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</row>
    <row r="79" spans="1:29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</row>
    <row r="80" spans="1:29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</row>
    <row r="81" spans="1:29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</row>
    <row r="82" spans="1:29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</row>
    <row r="83" spans="1:29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</row>
    <row r="84" spans="1:29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</row>
    <row r="85" spans="1:29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</row>
    <row r="86" spans="1:29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</row>
    <row r="87" spans="1:29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</row>
    <row r="88" spans="1:29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</row>
    <row r="89" spans="1:29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</row>
    <row r="90" spans="1:29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</row>
    <row r="91" spans="1:29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</row>
    <row r="92" spans="1:29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</row>
    <row r="93" spans="1:29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</row>
    <row r="94" spans="1:29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</row>
    <row r="95" spans="1:29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</row>
    <row r="96" spans="1:29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</row>
    <row r="97" spans="1:29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</row>
    <row r="98" spans="1:29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</row>
    <row r="99" spans="1:29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</row>
    <row r="100" spans="1:29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</row>
    <row r="101" spans="1:29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</row>
    <row r="102" spans="1:29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</row>
    <row r="103" spans="1:29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</row>
    <row r="104" spans="1:29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</row>
    <row r="105" spans="1:29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</row>
    <row r="106" spans="1:29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</row>
    <row r="107" spans="1:29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</row>
    <row r="108" spans="1:29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</row>
    <row r="109" spans="1:29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</row>
    <row r="110" spans="1:29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</row>
    <row r="111" spans="1:29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</row>
    <row r="112" spans="1:29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</row>
    <row r="113" spans="1:29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</row>
    <row r="114" spans="1:29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</row>
    <row r="115" spans="1:29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</row>
    <row r="116" spans="1:29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</row>
    <row r="117" spans="1:29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</row>
    <row r="118" spans="1:29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</row>
    <row r="119" spans="1:29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</row>
    <row r="120" spans="1:29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</row>
    <row r="121" spans="1:29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</row>
    <row r="122" spans="1:29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</row>
    <row r="123" spans="1:29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</row>
    <row r="124" spans="1:29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</row>
    <row r="125" spans="1:29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</row>
    <row r="126" spans="1:29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</row>
    <row r="127" spans="1:29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</row>
    <row r="128" spans="1:29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</row>
    <row r="129" spans="1:29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</row>
    <row r="130" spans="1:29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</row>
    <row r="131" spans="1:29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</row>
    <row r="132" spans="1:29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</row>
    <row r="133" spans="1:29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</row>
    <row r="134" spans="1:29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</row>
    <row r="135" spans="1:29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</row>
    <row r="136" spans="1:29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</row>
    <row r="137" spans="1:29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</row>
    <row r="138" spans="1:29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</row>
    <row r="139" spans="1:29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</row>
    <row r="140" spans="1:29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</row>
    <row r="141" spans="1:29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</row>
    <row r="142" spans="1:29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</row>
    <row r="143" spans="1:29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</row>
    <row r="144" spans="1:29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</row>
    <row r="145" spans="1:29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</row>
    <row r="146" spans="1:29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</row>
    <row r="147" spans="1:29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</row>
    <row r="148" spans="1:29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</row>
    <row r="149" spans="1:29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</row>
    <row r="150" spans="1:29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</row>
    <row r="151" spans="1:29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</row>
    <row r="152" spans="1:29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</row>
    <row r="153" spans="1:29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</row>
    <row r="154" spans="1:29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</row>
    <row r="155" spans="1:29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</row>
    <row r="156" spans="1:29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</row>
    <row r="157" spans="1:29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</row>
    <row r="158" spans="1:29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</row>
    <row r="159" spans="1:29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</row>
    <row r="160" spans="1:29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</row>
    <row r="161" spans="1:29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</row>
    <row r="162" spans="1:29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</row>
    <row r="163" spans="1:29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</row>
    <row r="164" spans="1:29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</row>
    <row r="165" spans="1:29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</row>
    <row r="166" spans="1:29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</row>
    <row r="167" spans="1:29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</row>
    <row r="168" spans="1:29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</row>
    <row r="169" spans="1:29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</row>
    <row r="170" spans="1:29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</row>
    <row r="171" spans="1:29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</row>
    <row r="172" spans="1:29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</row>
    <row r="173" spans="1:29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</row>
    <row r="174" spans="1:29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</row>
    <row r="175" spans="1:29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</row>
    <row r="176" spans="1:29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</row>
    <row r="177" spans="1:29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</row>
    <row r="178" spans="1:29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</row>
    <row r="179" spans="1:29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</row>
    <row r="180" spans="1:29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</row>
    <row r="181" spans="1:29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</row>
    <row r="182" spans="1:29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</row>
    <row r="183" spans="1:29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</row>
    <row r="184" spans="1:29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</row>
    <row r="185" spans="1:29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</row>
    <row r="186" spans="1:29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</row>
    <row r="187" spans="1:29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</row>
    <row r="188" spans="1:29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</row>
    <row r="189" spans="1:29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</row>
    <row r="190" spans="1:29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</row>
    <row r="191" spans="1:29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</row>
    <row r="192" spans="1:29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</row>
    <row r="193" spans="1:29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</row>
    <row r="194" spans="1:29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</row>
    <row r="195" spans="1:29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</row>
    <row r="196" spans="1:29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</row>
    <row r="197" spans="1:29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</row>
    <row r="198" spans="1:29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</row>
    <row r="199" spans="1:29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</row>
    <row r="200" spans="1:29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</row>
    <row r="201" spans="1:29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</row>
    <row r="202" spans="1:29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</row>
    <row r="203" spans="1:29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</row>
    <row r="204" spans="1:29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</row>
    <row r="205" spans="1:29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</row>
    <row r="206" spans="1:29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</row>
    <row r="207" spans="1:29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</row>
    <row r="208" spans="1:29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</row>
    <row r="209" spans="1:29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</row>
    <row r="210" spans="1:29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</row>
    <row r="211" spans="1:29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</row>
    <row r="212" spans="1:29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</row>
    <row r="213" spans="1:29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</row>
    <row r="214" spans="1:29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</row>
    <row r="215" spans="1:29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</row>
    <row r="216" spans="1:29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</row>
    <row r="217" spans="1:29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</row>
    <row r="218" spans="1:29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</row>
    <row r="219" spans="1:29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</row>
    <row r="220" spans="1:29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</row>
    <row r="221" spans="1:29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</row>
    <row r="222" spans="1:29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</row>
    <row r="223" spans="1:29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</row>
    <row r="224" spans="1:29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</row>
    <row r="225" spans="1:29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</row>
    <row r="226" spans="1:29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</row>
    <row r="227" spans="1:29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</row>
    <row r="228" spans="1:29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</row>
    <row r="229" spans="1:29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</row>
    <row r="230" spans="1:29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</row>
    <row r="231" spans="1:29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</row>
    <row r="232" spans="1:29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</row>
    <row r="233" spans="1:29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</row>
    <row r="234" spans="1:29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</row>
    <row r="235" spans="1:29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</row>
    <row r="236" spans="1:29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</row>
    <row r="237" spans="1:29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</row>
    <row r="238" spans="1:29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</row>
    <row r="239" spans="1:29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</row>
    <row r="240" spans="1:29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</row>
    <row r="241" spans="1:29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</row>
    <row r="242" spans="1:29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</row>
    <row r="243" spans="1:29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</row>
    <row r="244" spans="1:29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</row>
    <row r="245" spans="1:29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</row>
    <row r="246" spans="1:29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</row>
    <row r="247" spans="1:29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</row>
    <row r="248" spans="1:29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</row>
    <row r="249" spans="1:29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</row>
    <row r="250" spans="1:29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</row>
    <row r="251" spans="1:29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</row>
    <row r="252" spans="1:29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</row>
    <row r="253" spans="1:29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</row>
    <row r="254" spans="1:29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</row>
    <row r="255" spans="1:29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</row>
    <row r="256" spans="1:29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</row>
    <row r="257" spans="1:29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</row>
    <row r="258" spans="1:29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</row>
    <row r="259" spans="1:29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</row>
    <row r="260" spans="1:29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</row>
    <row r="261" spans="1:29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</row>
    <row r="262" spans="1:29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</row>
    <row r="263" spans="1:29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</row>
    <row r="264" spans="1:29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</row>
    <row r="265" spans="1:29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</row>
    <row r="266" spans="1:29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</row>
    <row r="267" spans="1:29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</row>
    <row r="268" spans="1:29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</row>
    <row r="269" spans="1:29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</row>
    <row r="270" spans="1:29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</row>
    <row r="271" spans="1:29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</row>
    <row r="272" spans="1:29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</row>
    <row r="273" spans="1:29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</row>
    <row r="274" spans="1:29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</row>
    <row r="275" spans="1:29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</row>
    <row r="276" spans="1:29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</row>
    <row r="277" spans="1:29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</row>
    <row r="278" spans="1:29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</row>
    <row r="279" spans="1:29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</row>
    <row r="280" spans="1:29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</row>
    <row r="281" spans="1:29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</row>
    <row r="282" spans="1:29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</row>
    <row r="283" spans="1:29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</row>
    <row r="284" spans="1:29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</row>
    <row r="285" spans="1:29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</row>
    <row r="286" spans="1:29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</row>
    <row r="287" spans="1:29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</row>
    <row r="288" spans="1:29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</row>
    <row r="289" spans="1:29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</row>
    <row r="290" spans="1:29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</row>
    <row r="291" spans="1:29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</row>
    <row r="292" spans="1:29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</row>
    <row r="293" spans="1:29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</row>
    <row r="294" spans="1:29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</row>
    <row r="295" spans="1:29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</row>
    <row r="296" spans="1:29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</row>
    <row r="297" spans="1:29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</row>
    <row r="298" spans="1:29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</row>
    <row r="299" spans="1:29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</row>
    <row r="300" spans="1:29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</row>
    <row r="301" spans="1:29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</row>
    <row r="302" spans="1:29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</row>
    <row r="303" spans="1:29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</row>
    <row r="304" spans="1:29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</row>
    <row r="305" spans="1:29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</row>
    <row r="306" spans="1:29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</row>
    <row r="307" spans="1:29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</row>
    <row r="308" spans="1:29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</row>
    <row r="309" spans="1:29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</row>
    <row r="310" spans="1:29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</row>
    <row r="311" spans="1:29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</row>
    <row r="312" spans="1:29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</row>
    <row r="313" spans="1:29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</row>
    <row r="314" spans="1:29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</row>
    <row r="315" spans="1:29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</row>
    <row r="316" spans="1:29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</row>
    <row r="317" spans="1:29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</row>
    <row r="318" spans="1:29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</row>
    <row r="319" spans="1:29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</row>
    <row r="320" spans="1:29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</row>
    <row r="321" spans="1:29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</row>
    <row r="322" spans="1:29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</row>
    <row r="323" spans="1:29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</row>
    <row r="324" spans="1:29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</row>
    <row r="325" spans="1:29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</row>
    <row r="326" spans="1:29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</row>
    <row r="327" spans="1:29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</row>
    <row r="328" spans="1:29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</row>
    <row r="329" spans="1:29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</row>
    <row r="330" spans="1:29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</row>
    <row r="331" spans="1:29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</row>
    <row r="332" spans="1:29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</row>
    <row r="333" spans="1:29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</row>
    <row r="334" spans="1:29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</row>
    <row r="335" spans="1:29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</row>
    <row r="336" spans="1:29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</row>
    <row r="337" spans="1:29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</row>
    <row r="338" spans="1:29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</row>
    <row r="339" spans="1:29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</row>
    <row r="340" spans="1:29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</row>
    <row r="341" spans="1:29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</row>
    <row r="342" spans="1:29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</row>
    <row r="343" spans="1:29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</row>
    <row r="344" spans="1:29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</row>
    <row r="345" spans="1:29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</row>
    <row r="346" spans="1:29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</row>
    <row r="347" spans="1:29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</row>
    <row r="348" spans="1:29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</row>
    <row r="349" spans="1:29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</row>
    <row r="350" spans="1:29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</row>
    <row r="351" spans="1:29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</row>
    <row r="352" spans="1:29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</row>
    <row r="353" spans="1:29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</row>
    <row r="354" spans="1:29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</row>
    <row r="355" spans="1:29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</row>
    <row r="356" spans="1:29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</row>
    <row r="357" spans="1:29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</row>
    <row r="358" spans="1:29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</row>
    <row r="359" spans="1:29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</row>
    <row r="360" spans="1:29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</row>
    <row r="361" spans="1:29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</row>
    <row r="362" spans="1:29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</row>
    <row r="363" spans="1:29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</row>
    <row r="364" spans="1:29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</row>
    <row r="365" spans="1:29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</row>
    <row r="366" spans="1:29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</row>
    <row r="367" spans="1:29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</row>
    <row r="368" spans="1:29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</row>
    <row r="369" spans="1:29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</row>
    <row r="370" spans="1:29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</row>
    <row r="371" spans="1:29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</row>
    <row r="372" spans="1:29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</row>
    <row r="373" spans="1:29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</row>
    <row r="374" spans="1:29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</row>
    <row r="375" spans="1:29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</row>
    <row r="376" spans="1:29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</row>
    <row r="377" spans="1:29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</row>
    <row r="378" spans="1:29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</row>
    <row r="379" spans="1:29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</row>
    <row r="380" spans="1:29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</row>
    <row r="381" spans="1:29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</row>
    <row r="382" spans="1:29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</row>
    <row r="383" spans="1:29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</row>
    <row r="384" spans="1:29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</row>
    <row r="385" spans="1:29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</row>
    <row r="386" spans="1:29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</row>
    <row r="387" spans="1:29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</row>
    <row r="388" spans="1:29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</row>
    <row r="389" spans="1:29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</row>
    <row r="390" spans="1:29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</row>
    <row r="391" spans="1:29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</row>
    <row r="392" spans="1:29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</row>
    <row r="393" spans="1:29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</row>
    <row r="394" spans="1:29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</row>
    <row r="395" spans="1:29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</row>
    <row r="396" spans="1:29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</row>
    <row r="397" spans="1:29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</row>
    <row r="398" spans="1:29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</row>
    <row r="399" spans="1:29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</row>
    <row r="400" spans="1:29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</row>
    <row r="401" spans="1:29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</row>
    <row r="402" spans="1:29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</row>
    <row r="403" spans="1:29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</row>
    <row r="404" spans="1:29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</row>
    <row r="405" spans="1:29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</row>
    <row r="406" spans="1:29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</row>
    <row r="407" spans="1:29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</row>
    <row r="408" spans="1:29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</row>
    <row r="409" spans="1:29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</row>
    <row r="410" spans="1:29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</row>
    <row r="411" spans="1:29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</row>
    <row r="412" spans="1:29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</row>
    <row r="413" spans="1:29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</row>
    <row r="414" spans="1:29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</row>
    <row r="415" spans="1:29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</row>
    <row r="416" spans="1:29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</row>
    <row r="417" spans="1:29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</row>
    <row r="418" spans="1:29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</row>
    <row r="419" spans="1:29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</row>
    <row r="420" spans="1:29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</row>
    <row r="421" spans="1:29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</row>
    <row r="422" spans="1:29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</row>
    <row r="423" spans="1:29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</row>
    <row r="424" spans="1:29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</row>
    <row r="425" spans="1:29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</row>
    <row r="426" spans="1:29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</row>
    <row r="427" spans="1:29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</row>
    <row r="428" spans="1:29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</row>
    <row r="429" spans="1:29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</row>
    <row r="430" spans="1:29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</row>
    <row r="431" spans="1:29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</row>
    <row r="432" spans="1:29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</row>
    <row r="433" spans="1:29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</row>
    <row r="434" spans="1:29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</row>
    <row r="435" spans="1:29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</row>
    <row r="436" spans="1:29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</row>
    <row r="437" spans="1:29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</row>
    <row r="438" spans="1:29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</row>
    <row r="439" spans="1:29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</row>
    <row r="440" spans="1:29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</row>
    <row r="441" spans="1:29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</row>
    <row r="442" spans="1:29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</row>
    <row r="443" spans="1:29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</row>
    <row r="444" spans="1:29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</row>
    <row r="445" spans="1:29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</row>
    <row r="446" spans="1:29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</row>
    <row r="447" spans="1:29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</row>
    <row r="448" spans="1:29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</row>
    <row r="449" spans="1:29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</row>
    <row r="450" spans="1:29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</row>
    <row r="451" spans="1:29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</row>
    <row r="452" spans="1:29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</row>
    <row r="453" spans="1:29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</row>
    <row r="454" spans="1:29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</row>
    <row r="455" spans="1:29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</row>
    <row r="456" spans="1:29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</row>
    <row r="457" spans="1:29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</row>
    <row r="458" spans="1:29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</row>
    <row r="459" spans="1:29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</row>
    <row r="460" spans="1:29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</row>
    <row r="461" spans="1:29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</row>
    <row r="462" spans="1:29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</row>
    <row r="463" spans="1:29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</row>
    <row r="464" spans="1:29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</row>
    <row r="465" spans="1:29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</row>
    <row r="466" spans="1:29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</row>
    <row r="467" spans="1:29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</row>
    <row r="468" spans="1:29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</row>
    <row r="469" spans="1:29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</row>
    <row r="470" spans="1:29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</row>
    <row r="471" spans="1:29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</row>
    <row r="472" spans="1:29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</row>
    <row r="473" spans="1:29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</row>
    <row r="474" spans="1:29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</row>
    <row r="475" spans="1:29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</row>
    <row r="476" spans="1:29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</row>
    <row r="477" spans="1:29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</row>
    <row r="478" spans="1:29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</row>
    <row r="479" spans="1:29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</row>
    <row r="480" spans="1:29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</row>
    <row r="481" spans="1:29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</row>
    <row r="482" spans="1:29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</row>
    <row r="483" spans="1:29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</row>
    <row r="484" spans="1:29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</row>
    <row r="485" spans="1:29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</row>
    <row r="486" spans="1:29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</row>
    <row r="487" spans="1:29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</row>
    <row r="488" spans="1:29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</row>
    <row r="489" spans="1:29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</row>
    <row r="490" spans="1:29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</row>
    <row r="491" spans="1:29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</row>
    <row r="492" spans="1:29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</row>
    <row r="493" spans="1:29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</row>
    <row r="494" spans="1:29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</row>
    <row r="495" spans="1:29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</row>
    <row r="496" spans="1:29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</row>
    <row r="497" spans="1:29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</row>
    <row r="498" spans="1:29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</row>
    <row r="499" spans="1:29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</row>
    <row r="500" spans="1:29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</row>
    <row r="501" spans="1:29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</row>
    <row r="502" spans="1:29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</row>
    <row r="503" spans="1:29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</row>
    <row r="504" spans="1:29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</row>
    <row r="505" spans="1:29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</row>
    <row r="506" spans="1:29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</row>
    <row r="507" spans="1:29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</row>
    <row r="508" spans="1:29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</row>
    <row r="509" spans="1:29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</row>
    <row r="510" spans="1:29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</row>
    <row r="511" spans="1:29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</row>
    <row r="512" spans="1:29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</row>
    <row r="513" spans="1:29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</row>
    <row r="514" spans="1:29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</row>
    <row r="515" spans="1:29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</row>
    <row r="516" spans="1:29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</row>
    <row r="517" spans="1:29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</row>
    <row r="518" spans="1:29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</row>
    <row r="519" spans="1:29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</row>
    <row r="520" spans="1:29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</row>
    <row r="521" spans="1:29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</row>
    <row r="522" spans="1:29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</row>
    <row r="523" spans="1:29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</row>
    <row r="524" spans="1:29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</row>
    <row r="525" spans="1:29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</row>
    <row r="526" spans="1:29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</row>
    <row r="527" spans="1:29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</row>
    <row r="528" spans="1:29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</row>
    <row r="529" spans="1:29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</row>
    <row r="530" spans="1:29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</row>
    <row r="531" spans="1:29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</row>
    <row r="532" spans="1:29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</row>
    <row r="533" spans="1:29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</row>
    <row r="534" spans="1:29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</row>
    <row r="535" spans="1:29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</row>
    <row r="536" spans="1:29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</row>
    <row r="537" spans="1:29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</row>
    <row r="538" spans="1:29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</row>
    <row r="539" spans="1:29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</row>
    <row r="540" spans="1:29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</row>
    <row r="541" spans="1:29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</row>
    <row r="542" spans="1:29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</row>
    <row r="543" spans="1:29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</row>
    <row r="544" spans="1:29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</row>
    <row r="545" spans="1:29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</row>
    <row r="546" spans="1:29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</row>
    <row r="547" spans="1:29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</row>
    <row r="548" spans="1:29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</row>
    <row r="549" spans="1:29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</row>
    <row r="550" spans="1:29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</row>
    <row r="551" spans="1:29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</row>
    <row r="552" spans="1:29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</row>
    <row r="553" spans="1:29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</row>
    <row r="554" spans="1:29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</row>
    <row r="555" spans="1:29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</row>
    <row r="556" spans="1:29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</row>
    <row r="557" spans="1:29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</row>
    <row r="558" spans="1:29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</row>
    <row r="559" spans="1:29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</row>
    <row r="560" spans="1:29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</row>
    <row r="561" spans="1:29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</row>
    <row r="562" spans="1:29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</row>
    <row r="563" spans="1:29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</row>
    <row r="564" spans="1:29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</row>
    <row r="565" spans="1:29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</row>
    <row r="566" spans="1:29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</row>
    <row r="567" spans="1:29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</row>
    <row r="568" spans="1:29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</row>
    <row r="569" spans="1:29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</row>
    <row r="570" spans="1:29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</row>
    <row r="571" spans="1:29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</row>
    <row r="572" spans="1:29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</row>
    <row r="573" spans="1:29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</row>
    <row r="574" spans="1:29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</row>
    <row r="575" spans="1:29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</row>
    <row r="576" spans="1:29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</row>
    <row r="577" spans="1:29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</row>
    <row r="578" spans="1:29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</row>
    <row r="579" spans="1:29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</row>
    <row r="580" spans="1:29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</row>
    <row r="581" spans="1:29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</row>
    <row r="582" spans="1:29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</row>
    <row r="583" spans="1:29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</row>
    <row r="584" spans="1:29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</row>
    <row r="585" spans="1:29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</row>
    <row r="586" spans="1:29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</row>
    <row r="587" spans="1:29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</row>
    <row r="588" spans="1:29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</row>
    <row r="589" spans="1:29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</row>
    <row r="590" spans="1:29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</row>
    <row r="591" spans="1:29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</row>
    <row r="592" spans="1:29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</row>
    <row r="593" spans="1:29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</row>
    <row r="594" spans="1:29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</row>
    <row r="595" spans="1:29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</row>
    <row r="596" spans="1:29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</row>
    <row r="597" spans="1:29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</row>
    <row r="598" spans="1:29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</row>
    <row r="599" spans="1:29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</row>
    <row r="600" spans="1:29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</row>
    <row r="601" spans="1:29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</row>
    <row r="602" spans="1:29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</row>
    <row r="603" spans="1:29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</row>
    <row r="604" spans="1:29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</row>
    <row r="605" spans="1:29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</row>
    <row r="606" spans="1:29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</row>
    <row r="607" spans="1:29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</row>
    <row r="608" spans="1:29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</row>
    <row r="609" spans="1:29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</row>
    <row r="610" spans="1:29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</row>
    <row r="611" spans="1:29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</row>
    <row r="612" spans="1:29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</row>
    <row r="613" spans="1:29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</row>
    <row r="614" spans="1:29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</row>
    <row r="615" spans="1:29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</row>
    <row r="616" spans="1:29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</row>
    <row r="617" spans="1:29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</row>
    <row r="618" spans="1:29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</row>
    <row r="619" spans="1:29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</row>
    <row r="620" spans="1:29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</row>
    <row r="621" spans="1:29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</row>
    <row r="622" spans="1:29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</row>
    <row r="623" spans="1:29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</row>
    <row r="624" spans="1:29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</row>
    <row r="625" spans="1:29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</row>
    <row r="626" spans="1:29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</row>
    <row r="627" spans="1:29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</row>
    <row r="628" spans="1:29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</row>
    <row r="629" spans="1:29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</row>
    <row r="630" spans="1:29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</row>
    <row r="631" spans="1:29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</row>
    <row r="632" spans="1:29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</row>
    <row r="633" spans="1:29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</row>
    <row r="634" spans="1:29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</row>
    <row r="635" spans="1:29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</row>
    <row r="636" spans="1:29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</row>
    <row r="637" spans="1:29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</row>
    <row r="638" spans="1:29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</row>
    <row r="639" spans="1:29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</row>
    <row r="640" spans="1:29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</row>
    <row r="641" spans="1:29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</row>
    <row r="642" spans="1:29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</row>
    <row r="643" spans="1:29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</row>
    <row r="644" spans="1:29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</row>
    <row r="645" spans="1:29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</row>
    <row r="646" spans="1:29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</row>
    <row r="647" spans="1:29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</row>
    <row r="648" spans="1:29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</row>
    <row r="649" spans="1:29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</row>
    <row r="650" spans="1:29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</row>
    <row r="651" spans="1:29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</row>
    <row r="652" spans="1:29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</row>
    <row r="653" spans="1:29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</row>
    <row r="654" spans="1:29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</row>
    <row r="655" spans="1:29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</row>
    <row r="656" spans="1:29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</row>
    <row r="657" spans="1:29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</row>
    <row r="658" spans="1:29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</row>
    <row r="659" spans="1:29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</row>
    <row r="660" spans="1:29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</row>
    <row r="661" spans="1:29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</row>
    <row r="662" spans="1:29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</row>
    <row r="663" spans="1:29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</row>
    <row r="664" spans="1:29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</row>
    <row r="665" spans="1:29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</row>
    <row r="666" spans="1:29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</row>
    <row r="667" spans="1:29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</row>
    <row r="668" spans="1:29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</row>
    <row r="669" spans="1:29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</row>
    <row r="670" spans="1:29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</row>
    <row r="671" spans="1:29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</row>
    <row r="672" spans="1:29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</row>
    <row r="673" spans="1:29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</row>
    <row r="674" spans="1:29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</row>
    <row r="675" spans="1:29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</row>
    <row r="676" spans="1:29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</row>
    <row r="677" spans="1:29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</row>
    <row r="678" spans="1:29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</row>
    <row r="679" spans="1:29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</row>
    <row r="680" spans="1:29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</row>
    <row r="681" spans="1:29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</row>
    <row r="682" spans="1:29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</row>
    <row r="683" spans="1:29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</row>
    <row r="684" spans="1:29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</row>
    <row r="685" spans="1:29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</row>
    <row r="686" spans="1:29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</row>
    <row r="687" spans="1:29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</row>
    <row r="688" spans="1:29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</row>
    <row r="689" spans="1:29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</row>
    <row r="690" spans="1:29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</row>
    <row r="691" spans="1:29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</row>
    <row r="692" spans="1:29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</row>
    <row r="693" spans="1:29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</row>
    <row r="694" spans="1:29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</row>
    <row r="695" spans="1:29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</row>
    <row r="696" spans="1:29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</row>
    <row r="697" spans="1:29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</row>
    <row r="698" spans="1:29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</row>
    <row r="699" spans="1:29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</row>
    <row r="700" spans="1:29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</row>
    <row r="701" spans="1:29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</row>
    <row r="702" spans="1:29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</row>
    <row r="703" spans="1:29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</row>
    <row r="704" spans="1:29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</row>
    <row r="705" spans="1:29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</row>
    <row r="706" spans="1:29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</row>
    <row r="707" spans="1:29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</row>
    <row r="708" spans="1:29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</row>
    <row r="709" spans="1:29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</row>
    <row r="710" spans="1:29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</row>
    <row r="711" spans="1:29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</row>
    <row r="712" spans="1:29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</row>
    <row r="713" spans="1:29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</row>
    <row r="714" spans="1:29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</row>
    <row r="715" spans="1:29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</row>
    <row r="716" spans="1:29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</row>
    <row r="717" spans="1:29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</row>
    <row r="718" spans="1:29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</row>
    <row r="719" spans="1:29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</row>
    <row r="720" spans="1:29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</row>
    <row r="721" spans="1:29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</row>
    <row r="722" spans="1:29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</row>
    <row r="723" spans="1:29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</row>
    <row r="724" spans="1:29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</row>
    <row r="725" spans="1:29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</row>
    <row r="726" spans="1:29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</row>
    <row r="727" spans="1:29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</row>
    <row r="728" spans="1:29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</row>
    <row r="729" spans="1:29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</row>
    <row r="730" spans="1:29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</row>
    <row r="731" spans="1:29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</row>
    <row r="732" spans="1:29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</row>
    <row r="733" spans="1:29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</row>
    <row r="734" spans="1:29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</row>
    <row r="735" spans="1:29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</row>
    <row r="736" spans="1:29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</row>
    <row r="737" spans="1:29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</row>
    <row r="738" spans="1:29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</row>
    <row r="739" spans="1:29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</row>
    <row r="740" spans="1:29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</row>
    <row r="741" spans="1:29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</row>
    <row r="742" spans="1:29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</row>
    <row r="743" spans="1:29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</row>
    <row r="744" spans="1:29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</row>
    <row r="745" spans="1:29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</row>
    <row r="746" spans="1:29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</row>
    <row r="747" spans="1:29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</row>
    <row r="748" spans="1:29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</row>
    <row r="749" spans="1:29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</row>
    <row r="750" spans="1:29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</row>
    <row r="751" spans="1:29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</row>
    <row r="752" spans="1:29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</row>
    <row r="753" spans="1:29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</row>
    <row r="754" spans="1:29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</row>
    <row r="755" spans="1:29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</row>
    <row r="756" spans="1:29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</row>
    <row r="757" spans="1:29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</row>
    <row r="758" spans="1:29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</row>
    <row r="759" spans="1:29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</row>
    <row r="760" spans="1:29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</row>
    <row r="761" spans="1:29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</row>
    <row r="762" spans="1:29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</row>
    <row r="763" spans="1:29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</row>
    <row r="764" spans="1:29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</row>
    <row r="765" spans="1:29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</row>
    <row r="766" spans="1:29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</row>
    <row r="767" spans="1:29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</row>
    <row r="768" spans="1:29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</row>
    <row r="769" spans="1:29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</row>
    <row r="770" spans="1:29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</row>
    <row r="771" spans="1:29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</row>
    <row r="772" spans="1:29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</row>
    <row r="773" spans="1:29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</row>
    <row r="774" spans="1:29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</row>
    <row r="775" spans="1:29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</row>
    <row r="776" spans="1:29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</row>
    <row r="777" spans="1:29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</row>
    <row r="778" spans="1:29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</row>
    <row r="779" spans="1:29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</row>
    <row r="780" spans="1:29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</row>
    <row r="781" spans="1:29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</row>
    <row r="782" spans="1:29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</row>
    <row r="783" spans="1:29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</row>
    <row r="784" spans="1:29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</row>
    <row r="785" spans="1:29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</row>
    <row r="786" spans="1:29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</row>
    <row r="787" spans="1:29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</row>
    <row r="788" spans="1:29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</row>
    <row r="789" spans="1:29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</row>
    <row r="790" spans="1:29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</row>
    <row r="791" spans="1:29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</row>
    <row r="792" spans="1:29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</row>
    <row r="793" spans="1:29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</row>
    <row r="794" spans="1:29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</row>
    <row r="795" spans="1:29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</row>
    <row r="796" spans="1:29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</row>
    <row r="797" spans="1:29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</row>
    <row r="798" spans="1:29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</row>
    <row r="799" spans="1:29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</row>
    <row r="800" spans="1:29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</row>
    <row r="801" spans="1:29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</row>
    <row r="802" spans="1:29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</row>
    <row r="803" spans="1:29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</row>
    <row r="804" spans="1:29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</row>
    <row r="805" spans="1:29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</row>
    <row r="806" spans="1:29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</row>
    <row r="807" spans="1:29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</row>
    <row r="808" spans="1:29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</row>
    <row r="809" spans="1:29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</row>
    <row r="810" spans="1:29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</row>
    <row r="811" spans="1:29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</row>
    <row r="812" spans="1:29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</row>
    <row r="813" spans="1:29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</row>
    <row r="814" spans="1:29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</row>
    <row r="815" spans="1:29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</row>
    <row r="816" spans="1:29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</row>
    <row r="817" spans="1:29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</row>
    <row r="818" spans="1:29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</row>
    <row r="819" spans="1:29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</row>
    <row r="820" spans="1:29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</row>
    <row r="821" spans="1:29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</row>
    <row r="822" spans="1:29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</row>
    <row r="823" spans="1:29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</row>
    <row r="824" spans="1:29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</row>
    <row r="825" spans="1:29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</row>
    <row r="826" spans="1:29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</row>
    <row r="827" spans="1:29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</row>
    <row r="828" spans="1:29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</row>
    <row r="829" spans="1:29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</row>
    <row r="830" spans="1:29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</row>
    <row r="831" spans="1:29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</row>
    <row r="832" spans="1:29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</row>
    <row r="833" spans="1:29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</row>
    <row r="834" spans="1:29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</row>
    <row r="835" spans="1:29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</row>
    <row r="836" spans="1:29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</row>
    <row r="837" spans="1:29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</row>
    <row r="838" spans="1:29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</row>
    <row r="839" spans="1:29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</row>
    <row r="840" spans="1:29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</row>
    <row r="841" spans="1:29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</row>
    <row r="842" spans="1:29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</row>
    <row r="843" spans="1:29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</row>
    <row r="844" spans="1:29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</row>
    <row r="845" spans="1:29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</row>
    <row r="846" spans="1:29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</row>
    <row r="847" spans="1:29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</row>
    <row r="848" spans="1:29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</row>
    <row r="849" spans="1:29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</row>
    <row r="850" spans="1:29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</row>
    <row r="851" spans="1:29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</row>
    <row r="852" spans="1:29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</row>
    <row r="853" spans="1:29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</row>
    <row r="854" spans="1:29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</row>
    <row r="855" spans="1:29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</row>
    <row r="856" spans="1:29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</row>
    <row r="857" spans="1:29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</row>
    <row r="858" spans="1:29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</row>
    <row r="859" spans="1:29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</row>
    <row r="860" spans="1:29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</row>
    <row r="861" spans="1:29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</row>
    <row r="862" spans="1:29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</row>
    <row r="863" spans="1:29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</row>
    <row r="864" spans="1:29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</row>
    <row r="865" spans="1:29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</row>
    <row r="866" spans="1:29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</row>
    <row r="867" spans="1:29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</row>
    <row r="868" spans="1:29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</row>
    <row r="869" spans="1:29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</row>
    <row r="870" spans="1:29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</row>
    <row r="871" spans="1:29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</row>
    <row r="872" spans="1:29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</row>
    <row r="873" spans="1:29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</row>
    <row r="874" spans="1:29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</row>
    <row r="875" spans="1:29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</row>
    <row r="876" spans="1:29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</row>
    <row r="877" spans="1:29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</row>
    <row r="878" spans="1:29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</row>
    <row r="879" spans="1:29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</row>
    <row r="880" spans="1:29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</row>
    <row r="881" spans="1:29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</row>
    <row r="882" spans="1:29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</row>
    <row r="883" spans="1:29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</row>
    <row r="884" spans="1:29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</row>
    <row r="885" spans="1:29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</row>
    <row r="886" spans="1:29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</row>
    <row r="887" spans="1:29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</row>
    <row r="888" spans="1:29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</row>
    <row r="889" spans="1:29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</row>
    <row r="890" spans="1:29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</row>
    <row r="891" spans="1:29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</row>
    <row r="892" spans="1:29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</row>
    <row r="893" spans="1:29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</row>
    <row r="894" spans="1:29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</row>
    <row r="895" spans="1:29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</row>
    <row r="896" spans="1:29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</row>
    <row r="897" spans="1:29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</row>
    <row r="898" spans="1:29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</row>
    <row r="899" spans="1:29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</row>
    <row r="900" spans="1:29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</row>
    <row r="901" spans="1:29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</row>
    <row r="902" spans="1:29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</row>
    <row r="903" spans="1:29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</row>
    <row r="904" spans="1:29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</row>
    <row r="905" spans="1:29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</row>
    <row r="906" spans="1:29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</row>
    <row r="907" spans="1:29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</row>
    <row r="908" spans="1:29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</row>
    <row r="909" spans="1:29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</row>
    <row r="910" spans="1:29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</row>
    <row r="911" spans="1:29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</row>
    <row r="912" spans="1:29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</row>
    <row r="913" spans="1:29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</row>
    <row r="914" spans="1:29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</row>
    <row r="915" spans="1:29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</row>
    <row r="916" spans="1:29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</row>
    <row r="917" spans="1:29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</row>
    <row r="918" spans="1:29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</row>
    <row r="919" spans="1:29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</row>
    <row r="920" spans="1:29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</row>
    <row r="921" spans="1:29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</row>
    <row r="922" spans="1:29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</row>
    <row r="923" spans="1:29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</row>
    <row r="924" spans="1:29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</row>
    <row r="925" spans="1:29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</row>
    <row r="926" spans="1:29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</row>
    <row r="927" spans="1:29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</row>
    <row r="928" spans="1:29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</row>
    <row r="929" spans="1:29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</row>
    <row r="930" spans="1:29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</row>
    <row r="931" spans="1:29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</row>
    <row r="932" spans="1:29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</row>
    <row r="933" spans="1:29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</row>
    <row r="934" spans="1:29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</row>
    <row r="935" spans="1:29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</row>
    <row r="936" spans="1:29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</row>
    <row r="937" spans="1:29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</row>
    <row r="938" spans="1:29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</row>
    <row r="939" spans="1:29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</row>
    <row r="940" spans="1:29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</row>
    <row r="941" spans="1:29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</row>
    <row r="942" spans="1:29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</row>
    <row r="943" spans="1:29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</row>
    <row r="944" spans="1:29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</row>
    <row r="945" spans="1:29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</row>
    <row r="946" spans="1:29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</row>
    <row r="947" spans="1:29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</row>
    <row r="948" spans="1:29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</row>
    <row r="949" spans="1:29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</row>
    <row r="950" spans="1:29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</row>
    <row r="951" spans="1:29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</row>
    <row r="952" spans="1:29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</row>
    <row r="953" spans="1:29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</row>
    <row r="954" spans="1:29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</row>
    <row r="955" spans="1:29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</row>
    <row r="956" spans="1:29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</row>
    <row r="957" spans="1:29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</row>
    <row r="958" spans="1:29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</row>
    <row r="959" spans="1:29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</row>
    <row r="960" spans="1:29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</row>
    <row r="961" spans="1:29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</row>
    <row r="962" spans="1:29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</row>
    <row r="963" spans="1:29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</row>
    <row r="964" spans="1:29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</row>
    <row r="965" spans="1:29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</row>
    <row r="966" spans="1:29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</row>
    <row r="967" spans="1:29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</row>
    <row r="968" spans="1:29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</row>
    <row r="969" spans="1:29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</row>
    <row r="970" spans="1:29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</row>
    <row r="971" spans="1:29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</row>
    <row r="972" spans="1:29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</row>
    <row r="973" spans="1:29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</row>
    <row r="974" spans="1:29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</row>
    <row r="975" spans="1:29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</row>
    <row r="976" spans="1:29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</row>
    <row r="977" spans="1:29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</row>
    <row r="978" spans="1:29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</row>
    <row r="979" spans="1:29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</row>
    <row r="980" spans="1:29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</row>
    <row r="981" spans="1:29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</row>
    <row r="982" spans="1:29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</row>
    <row r="983" spans="1:29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</row>
    <row r="984" spans="1:29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</row>
    <row r="985" spans="1:29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</row>
    <row r="986" spans="1:29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</row>
    <row r="987" spans="1:29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</row>
    <row r="988" spans="1:29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</row>
    <row r="989" spans="1:29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</row>
    <row r="990" spans="1:29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</row>
  </sheetData>
  <mergeCells count="30">
    <mergeCell ref="Y2:Y3"/>
    <mergeCell ref="Z2:Z3"/>
    <mergeCell ref="AA2:AA3"/>
    <mergeCell ref="A1:A3"/>
    <mergeCell ref="B1:B3"/>
    <mergeCell ref="C1:M1"/>
    <mergeCell ref="N1:AB1"/>
    <mergeCell ref="T2:T3"/>
    <mergeCell ref="U2:U3"/>
    <mergeCell ref="K2:K3"/>
    <mergeCell ref="L2:M2"/>
    <mergeCell ref="V2:V3"/>
    <mergeCell ref="W2:W3"/>
    <mergeCell ref="X2:X3"/>
    <mergeCell ref="AC1:AC3"/>
    <mergeCell ref="C2:C3"/>
    <mergeCell ref="D2:D3"/>
    <mergeCell ref="AB2:AB3"/>
    <mergeCell ref="E2:E3"/>
    <mergeCell ref="F2:F3"/>
    <mergeCell ref="G2:G3"/>
    <mergeCell ref="H2:H3"/>
    <mergeCell ref="I2:I3"/>
    <mergeCell ref="J2:J3"/>
    <mergeCell ref="N2:N3"/>
    <mergeCell ref="O2:O3"/>
    <mergeCell ref="P2:P3"/>
    <mergeCell ref="Q2:Q3"/>
    <mergeCell ref="R2:R3"/>
    <mergeCell ref="S2:S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4A86E8"/>
  </sheetPr>
  <dimension ref="A1:AU990"/>
  <sheetViews>
    <sheetView topLeftCell="A16" workbookViewId="0">
      <selection activeCell="C36" sqref="C36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3" width="10.83203125" customWidth="1"/>
    <col min="4" max="4" width="11.75" customWidth="1"/>
    <col min="5" max="5" width="8.75" customWidth="1"/>
    <col min="6" max="6" width="9.58203125" customWidth="1"/>
    <col min="7" max="7" width="14.5" customWidth="1"/>
    <col min="8" max="8" width="12.83203125" customWidth="1"/>
    <col min="9" max="9" width="9.75" customWidth="1"/>
    <col min="10" max="10" width="7.58203125" customWidth="1"/>
    <col min="11" max="11" width="10.08203125" customWidth="1"/>
    <col min="12" max="12" width="14" customWidth="1"/>
    <col min="13" max="13" width="7.58203125" customWidth="1"/>
    <col min="14" max="14" width="12.08203125" customWidth="1"/>
    <col min="15" max="15" width="7.58203125" customWidth="1"/>
    <col min="16" max="16" width="10.33203125" customWidth="1"/>
    <col min="17" max="17" width="12.58203125" customWidth="1"/>
    <col min="18" max="18" width="10.83203125" customWidth="1"/>
    <col min="19" max="19" width="7.58203125" customWidth="1"/>
    <col min="20" max="20" width="9.08203125" customWidth="1"/>
    <col min="21" max="21" width="13.58203125" customWidth="1"/>
    <col min="22" max="22" width="12.5" customWidth="1"/>
    <col min="23" max="23" width="11.08203125" customWidth="1"/>
    <col min="24" max="24" width="10.83203125" customWidth="1"/>
    <col min="25" max="25" width="10.75" customWidth="1"/>
    <col min="26" max="26" width="12.08203125" customWidth="1"/>
    <col min="27" max="27" width="13.5" customWidth="1"/>
    <col min="28" max="28" width="9.08203125" customWidth="1"/>
    <col min="29" max="29" width="7.58203125" customWidth="1"/>
    <col min="30" max="30" width="9.5" customWidth="1"/>
    <col min="31" max="31" width="12.33203125" customWidth="1"/>
    <col min="32" max="32" width="18.75" customWidth="1"/>
    <col min="33" max="33" width="10.33203125" customWidth="1"/>
    <col min="34" max="34" width="7.58203125" customWidth="1"/>
    <col min="35" max="35" width="8.83203125" customWidth="1"/>
    <col min="36" max="36" width="13.25" customWidth="1"/>
    <col min="37" max="37" width="10.75" customWidth="1"/>
    <col min="38" max="38" width="11.75" customWidth="1"/>
    <col min="39" max="39" width="7.58203125" customWidth="1"/>
    <col min="40" max="40" width="10.33203125" customWidth="1"/>
    <col min="41" max="41" width="12.25" customWidth="1"/>
    <col min="42" max="42" width="21.33203125" customWidth="1"/>
    <col min="43" max="43" width="9.75" customWidth="1"/>
    <col min="44" max="44" width="7.58203125" customWidth="1"/>
    <col min="45" max="45" width="9.75" customWidth="1"/>
    <col min="46" max="46" width="12.83203125" customWidth="1"/>
    <col min="47" max="47" width="16.58203125" customWidth="1"/>
  </cols>
  <sheetData>
    <row r="1" spans="1:47" ht="14.25" customHeight="1" x14ac:dyDescent="0.3">
      <c r="A1" s="395" t="s">
        <v>0</v>
      </c>
      <c r="B1" s="396" t="s">
        <v>104</v>
      </c>
      <c r="C1" s="398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  <c r="T1" s="122"/>
      <c r="U1" s="122"/>
      <c r="V1" s="402" t="s">
        <v>4</v>
      </c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123"/>
      <c r="AT1" s="123"/>
      <c r="AU1" s="401" t="s">
        <v>5</v>
      </c>
    </row>
    <row r="2" spans="1:47" ht="14.25" customHeight="1" x14ac:dyDescent="0.3">
      <c r="A2" s="389"/>
      <c r="B2" s="353"/>
      <c r="C2" s="397" t="s">
        <v>6</v>
      </c>
      <c r="D2" s="397" t="s">
        <v>7</v>
      </c>
      <c r="E2" s="397" t="s">
        <v>8</v>
      </c>
      <c r="F2" s="397" t="s">
        <v>85</v>
      </c>
      <c r="G2" s="397" t="s">
        <v>86</v>
      </c>
      <c r="H2" s="397" t="s">
        <v>9</v>
      </c>
      <c r="I2" s="397" t="s">
        <v>7</v>
      </c>
      <c r="J2" s="397" t="s">
        <v>8</v>
      </c>
      <c r="K2" s="397" t="s">
        <v>85</v>
      </c>
      <c r="L2" s="397" t="s">
        <v>86</v>
      </c>
      <c r="M2" s="397" t="s">
        <v>105</v>
      </c>
      <c r="N2" s="397" t="s">
        <v>7</v>
      </c>
      <c r="O2" s="397" t="s">
        <v>8</v>
      </c>
      <c r="P2" s="397" t="s">
        <v>85</v>
      </c>
      <c r="Q2" s="397" t="s">
        <v>86</v>
      </c>
      <c r="R2" s="399" t="s">
        <v>11</v>
      </c>
      <c r="S2" s="372"/>
      <c r="T2" s="397" t="s">
        <v>85</v>
      </c>
      <c r="U2" s="397" t="s">
        <v>86</v>
      </c>
      <c r="V2" s="400" t="s">
        <v>12</v>
      </c>
      <c r="W2" s="400" t="s">
        <v>7</v>
      </c>
      <c r="X2" s="400" t="s">
        <v>8</v>
      </c>
      <c r="Y2" s="400" t="s">
        <v>85</v>
      </c>
      <c r="Z2" s="400" t="s">
        <v>131</v>
      </c>
      <c r="AA2" s="400" t="s">
        <v>13</v>
      </c>
      <c r="AB2" s="400" t="s">
        <v>7</v>
      </c>
      <c r="AC2" s="400" t="s">
        <v>8</v>
      </c>
      <c r="AD2" s="400" t="s">
        <v>85</v>
      </c>
      <c r="AE2" s="400" t="s">
        <v>131</v>
      </c>
      <c r="AF2" s="400" t="s">
        <v>14</v>
      </c>
      <c r="AG2" s="400" t="s">
        <v>7</v>
      </c>
      <c r="AH2" s="400" t="s">
        <v>8</v>
      </c>
      <c r="AI2" s="400" t="s">
        <v>85</v>
      </c>
      <c r="AJ2" s="400" t="s">
        <v>131</v>
      </c>
      <c r="AK2" s="400" t="s">
        <v>15</v>
      </c>
      <c r="AL2" s="400" t="s">
        <v>7</v>
      </c>
      <c r="AM2" s="400" t="s">
        <v>8</v>
      </c>
      <c r="AN2" s="400" t="s">
        <v>85</v>
      </c>
      <c r="AO2" s="400" t="s">
        <v>131</v>
      </c>
      <c r="AP2" s="400" t="s">
        <v>16</v>
      </c>
      <c r="AQ2" s="400" t="s">
        <v>7</v>
      </c>
      <c r="AR2" s="400" t="s">
        <v>8</v>
      </c>
      <c r="AS2" s="400" t="s">
        <v>85</v>
      </c>
      <c r="AT2" s="400" t="s">
        <v>131</v>
      </c>
      <c r="AU2" s="353"/>
    </row>
    <row r="3" spans="1:47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124" t="s">
        <v>17</v>
      </c>
      <c r="S3" s="124" t="s">
        <v>8</v>
      </c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</row>
    <row r="4" spans="1:47" ht="14.25" customHeight="1" x14ac:dyDescent="0.3">
      <c r="A4" s="76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97"/>
      <c r="L4" s="97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97"/>
      <c r="AE4" s="97"/>
      <c r="AF4" s="78"/>
      <c r="AG4" s="78"/>
      <c r="AH4" s="78"/>
      <c r="AI4" s="78"/>
      <c r="AJ4" s="78"/>
      <c r="AK4" s="78"/>
      <c r="AL4" s="78"/>
      <c r="AM4" s="78"/>
      <c r="AN4" s="97"/>
      <c r="AO4" s="97"/>
      <c r="AP4" s="78"/>
      <c r="AQ4" s="78"/>
      <c r="AR4" s="78"/>
      <c r="AS4" s="97"/>
      <c r="AT4" s="97"/>
      <c r="AU4" s="79"/>
    </row>
    <row r="5" spans="1:47" ht="14.25" customHeight="1" x14ac:dyDescent="0.3">
      <c r="A5" s="79"/>
      <c r="B5" s="79" t="s">
        <v>106</v>
      </c>
      <c r="C5" s="80" t="s">
        <v>107</v>
      </c>
      <c r="D5" s="111">
        <f>'UT Unit Fungsi'!D5</f>
        <v>1.095049968418018E-4</v>
      </c>
      <c r="E5" s="188" t="s">
        <v>199</v>
      </c>
      <c r="F5" s="86">
        <f>CF!E4</f>
        <v>5.1299999999999998E-2</v>
      </c>
      <c r="G5" s="111">
        <f t="shared" ref="G5:G7" si="0">D5*F5</f>
        <v>5.6176063379844325E-6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14.25" customHeight="1" x14ac:dyDescent="0.3">
      <c r="A6" s="79"/>
      <c r="B6" s="79" t="s">
        <v>108</v>
      </c>
      <c r="C6" s="80" t="s">
        <v>109</v>
      </c>
      <c r="D6" s="111">
        <f>'UT Unit Fungsi'!D6</f>
        <v>1.9087843472699963E-2</v>
      </c>
      <c r="E6" s="188" t="s">
        <v>209</v>
      </c>
      <c r="F6" s="125">
        <v>0</v>
      </c>
      <c r="G6" s="111">
        <f t="shared" si="0"/>
        <v>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80" t="s">
        <v>111</v>
      </c>
      <c r="AB6" s="111">
        <f>Utilitas!R6/Utilitas!C30</f>
        <v>1.9087843472699963E-2</v>
      </c>
      <c r="AC6" s="188" t="s">
        <v>209</v>
      </c>
      <c r="AD6" s="125">
        <v>0</v>
      </c>
      <c r="AE6" s="111">
        <f>AB6*AD6</f>
        <v>0</v>
      </c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80" t="s">
        <v>112</v>
      </c>
      <c r="AQ6" s="111">
        <f>Utilitas!AA6/Utilitas!C30</f>
        <v>3.8175686945399931E-7</v>
      </c>
      <c r="AR6" s="188" t="s">
        <v>203</v>
      </c>
      <c r="AS6" s="134">
        <f>CF!E24</f>
        <v>0.59699999999999998</v>
      </c>
      <c r="AT6" s="111">
        <f>AQ6*AS6</f>
        <v>2.2790885106403757E-7</v>
      </c>
      <c r="AU6" s="79"/>
    </row>
    <row r="7" spans="1:47" ht="14.25" customHeight="1" x14ac:dyDescent="0.3">
      <c r="A7" s="79"/>
      <c r="B7" s="79"/>
      <c r="C7" s="80" t="s">
        <v>113</v>
      </c>
      <c r="D7" s="111">
        <f>'UT Unit Fungsi'!D7</f>
        <v>3.8175686945399923E-5</v>
      </c>
      <c r="E7" s="188" t="s">
        <v>202</v>
      </c>
      <c r="F7" s="125">
        <v>0</v>
      </c>
      <c r="G7" s="111">
        <f t="shared" si="0"/>
        <v>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12"/>
      <c r="AR7" s="78"/>
      <c r="AS7" s="78"/>
      <c r="AT7" s="78"/>
      <c r="AU7" s="79"/>
    </row>
    <row r="8" spans="1:47" ht="14.25" customHeight="1" x14ac:dyDescent="0.3">
      <c r="A8" s="79"/>
      <c r="B8" s="79" t="s">
        <v>114</v>
      </c>
      <c r="C8" s="78"/>
      <c r="D8" s="85"/>
      <c r="E8" s="85"/>
      <c r="F8" s="85"/>
      <c r="G8" s="85"/>
      <c r="H8" s="80" t="s">
        <v>22</v>
      </c>
      <c r="I8" s="111">
        <f>'UT Unit Fungsi'!G8</f>
        <v>6.6825250072615507E-3</v>
      </c>
      <c r="J8" s="188" t="s">
        <v>203</v>
      </c>
      <c r="K8" s="111">
        <f>CF!E7</f>
        <v>0.47899999999999998</v>
      </c>
      <c r="L8" s="111">
        <f>I8*K8</f>
        <v>3.2009294784782825E-3</v>
      </c>
      <c r="M8" s="78"/>
      <c r="N8" s="78"/>
      <c r="O8" s="78"/>
      <c r="P8" s="78"/>
      <c r="Q8" s="78"/>
      <c r="R8" s="78"/>
      <c r="S8" s="78"/>
      <c r="T8" s="78"/>
      <c r="U8" s="78"/>
      <c r="V8" s="87" t="s">
        <v>24</v>
      </c>
      <c r="W8" s="111">
        <f>Utilitas!O8/Utilitas!C30</f>
        <v>3.4084522550674235E-8</v>
      </c>
      <c r="X8" s="20" t="s">
        <v>205</v>
      </c>
      <c r="Y8" s="145">
        <f>CF!E21</f>
        <v>0.82899999999999996</v>
      </c>
      <c r="Z8" s="126">
        <f t="shared" ref="Z8:Z10" si="1">W8*Y8</f>
        <v>2.8256069194508937E-8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12"/>
      <c r="AR8" s="78"/>
      <c r="AS8" s="78"/>
      <c r="AT8" s="78"/>
      <c r="AU8" s="79"/>
    </row>
    <row r="9" spans="1:47" ht="14.25" customHeight="1" x14ac:dyDescent="0.3">
      <c r="A9" s="76"/>
      <c r="B9" s="79"/>
      <c r="C9" s="78"/>
      <c r="D9" s="85"/>
      <c r="E9" s="85"/>
      <c r="F9" s="85"/>
      <c r="G9" s="85"/>
      <c r="H9" s="78"/>
      <c r="I9" s="85"/>
      <c r="J9" s="85"/>
      <c r="K9" s="85"/>
      <c r="L9" s="85"/>
      <c r="M9" s="78"/>
      <c r="N9" s="89"/>
      <c r="O9" s="78"/>
      <c r="P9" s="78"/>
      <c r="Q9" s="78"/>
      <c r="R9" s="78"/>
      <c r="S9" s="78"/>
      <c r="T9" s="78"/>
      <c r="U9" s="78"/>
      <c r="V9" s="87" t="s">
        <v>29</v>
      </c>
      <c r="W9" s="111">
        <f>Utilitas!O9/Utilitas!C30</f>
        <v>5.1831000461322046E-7</v>
      </c>
      <c r="X9" s="18" t="s">
        <v>206</v>
      </c>
      <c r="Y9" s="146">
        <f>CF!E22</f>
        <v>1.22</v>
      </c>
      <c r="Z9" s="127">
        <f t="shared" si="1"/>
        <v>6.3233820562812899E-7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0"/>
      <c r="AO9" s="90"/>
      <c r="AP9" s="90"/>
      <c r="AQ9" s="112"/>
      <c r="AR9" s="92"/>
      <c r="AS9" s="92"/>
      <c r="AT9" s="92"/>
      <c r="AU9" s="79"/>
    </row>
    <row r="10" spans="1:47" ht="14.25" customHeight="1" x14ac:dyDescent="0.3">
      <c r="A10" s="76"/>
      <c r="B10" s="79"/>
      <c r="C10" s="78"/>
      <c r="D10" s="85"/>
      <c r="E10" s="85"/>
      <c r="F10" s="85"/>
      <c r="G10" s="85"/>
      <c r="H10" s="78"/>
      <c r="I10" s="85"/>
      <c r="J10" s="85"/>
      <c r="K10" s="85"/>
      <c r="L10" s="85"/>
      <c r="M10" s="78"/>
      <c r="N10" s="89"/>
      <c r="O10" s="78"/>
      <c r="P10" s="78"/>
      <c r="Q10" s="78"/>
      <c r="R10" s="78"/>
      <c r="S10" s="78"/>
      <c r="T10" s="78"/>
      <c r="U10" s="78"/>
      <c r="V10" s="87" t="s">
        <v>31</v>
      </c>
      <c r="W10" s="111">
        <f>Utilitas!O10/Utilitas!C30</f>
        <v>2.0257163306103306E-5</v>
      </c>
      <c r="X10" s="18" t="s">
        <v>207</v>
      </c>
      <c r="Y10" s="146">
        <f>CF!E23</f>
        <v>0.85299999999999998</v>
      </c>
      <c r="Z10" s="127">
        <f t="shared" si="1"/>
        <v>1.7279360300106121E-5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0"/>
      <c r="AO10" s="90"/>
      <c r="AP10" s="90"/>
      <c r="AQ10" s="112"/>
      <c r="AR10" s="92"/>
      <c r="AS10" s="92"/>
      <c r="AT10" s="92"/>
      <c r="AU10" s="79"/>
    </row>
    <row r="11" spans="1:47" ht="14.25" customHeight="1" x14ac:dyDescent="0.3">
      <c r="A11" s="76"/>
      <c r="B11" s="79"/>
      <c r="C11" s="78"/>
      <c r="D11" s="85"/>
      <c r="E11" s="85"/>
      <c r="F11" s="85"/>
      <c r="G11" s="85"/>
      <c r="H11" s="78"/>
      <c r="I11" s="85"/>
      <c r="J11" s="85"/>
      <c r="K11" s="85"/>
      <c r="L11" s="85"/>
      <c r="M11" s="78"/>
      <c r="N11" s="89"/>
      <c r="O11" s="78"/>
      <c r="P11" s="78"/>
      <c r="Q11" s="78"/>
      <c r="R11" s="78"/>
      <c r="S11" s="78"/>
      <c r="T11" s="78"/>
      <c r="U11" s="78"/>
      <c r="V11" s="78"/>
      <c r="W11" s="113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0"/>
      <c r="AO11" s="90"/>
      <c r="AP11" s="90"/>
      <c r="AQ11" s="112"/>
      <c r="AR11" s="92"/>
      <c r="AS11" s="92"/>
      <c r="AT11" s="92"/>
      <c r="AU11" s="79"/>
    </row>
    <row r="12" spans="1:47" ht="14.25" customHeight="1" x14ac:dyDescent="0.3">
      <c r="A12" s="76"/>
      <c r="B12" s="79"/>
      <c r="C12" s="78"/>
      <c r="D12" s="85"/>
      <c r="E12" s="85"/>
      <c r="F12" s="85"/>
      <c r="G12" s="85"/>
      <c r="H12" s="78"/>
      <c r="I12" s="85"/>
      <c r="J12" s="85"/>
      <c r="K12" s="85"/>
      <c r="L12" s="85"/>
      <c r="M12" s="78"/>
      <c r="N12" s="89"/>
      <c r="O12" s="78"/>
      <c r="P12" s="78"/>
      <c r="Q12" s="78"/>
      <c r="R12" s="78"/>
      <c r="S12" s="78"/>
      <c r="T12" s="78"/>
      <c r="U12" s="78"/>
      <c r="V12" s="78"/>
      <c r="W12" s="113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90"/>
      <c r="AO12" s="90"/>
      <c r="AP12" s="90"/>
      <c r="AQ12" s="112"/>
      <c r="AR12" s="92"/>
      <c r="AS12" s="92"/>
      <c r="AT12" s="92"/>
      <c r="AU12" s="79"/>
    </row>
    <row r="13" spans="1:47" ht="14.25" customHeight="1" x14ac:dyDescent="0.3">
      <c r="A13" s="76">
        <v>2</v>
      </c>
      <c r="B13" s="77" t="s">
        <v>101</v>
      </c>
      <c r="C13" s="78"/>
      <c r="D13" s="85"/>
      <c r="E13" s="85"/>
      <c r="F13" s="85"/>
      <c r="G13" s="85"/>
      <c r="H13" s="80" t="s">
        <v>22</v>
      </c>
      <c r="I13" s="111">
        <f>'UT Unit Fungsi'!G13</f>
        <v>1.3651443943405738E-2</v>
      </c>
      <c r="J13" s="188" t="s">
        <v>203</v>
      </c>
      <c r="K13" s="111">
        <f>K8</f>
        <v>0.47899999999999998</v>
      </c>
      <c r="L13" s="111">
        <f>I13*K13</f>
        <v>6.5390416488913484E-3</v>
      </c>
      <c r="M13" s="80" t="s">
        <v>115</v>
      </c>
      <c r="N13" s="81">
        <f>Utilitas!J13/Utilitas!C30</f>
        <v>5.3429011325306891E-2</v>
      </c>
      <c r="O13" s="188" t="s">
        <v>203</v>
      </c>
      <c r="P13" s="125">
        <v>0</v>
      </c>
      <c r="Q13" s="86">
        <f t="shared" ref="Q13:Q14" si="2">N13*P13</f>
        <v>0</v>
      </c>
      <c r="R13" s="78"/>
      <c r="S13" s="78"/>
      <c r="T13" s="78"/>
      <c r="U13" s="78"/>
      <c r="V13" s="87" t="s">
        <v>24</v>
      </c>
      <c r="W13" s="111">
        <f>Utilitas!O13/Utilitas!C30</f>
        <v>6.962981035352022E-8</v>
      </c>
      <c r="X13" s="20" t="s">
        <v>205</v>
      </c>
      <c r="Y13" s="145">
        <f t="shared" ref="Y13:Y15" si="3">Y8</f>
        <v>0.82899999999999996</v>
      </c>
      <c r="Z13" s="126">
        <f t="shared" ref="Z13:Z15" si="4">W13*Y13</f>
        <v>5.7723112783068258E-8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80" t="s">
        <v>116</v>
      </c>
      <c r="AL13" s="94">
        <f>Utilitas!X13/Utilitas!C30</f>
        <v>3.6329210656642426E-3</v>
      </c>
      <c r="AM13" s="188" t="s">
        <v>200</v>
      </c>
      <c r="AN13" s="128">
        <f>CF!E12</f>
        <v>0.53900000000000003</v>
      </c>
      <c r="AO13" s="128">
        <f t="shared" ref="AO13:AO16" si="5">AL13*AN13</f>
        <v>1.9581444543930269E-3</v>
      </c>
      <c r="AP13" s="95" t="s">
        <v>117</v>
      </c>
      <c r="AQ13" s="111">
        <f>Utilitas!AA13/Utilitas!C30</f>
        <v>1.0685802265061379E-7</v>
      </c>
      <c r="AR13" s="188" t="s">
        <v>203</v>
      </c>
      <c r="AS13" s="147">
        <f>CF!E26</f>
        <v>0.67900000000000005</v>
      </c>
      <c r="AT13" s="130">
        <f t="shared" ref="AT13:AT14" si="6">AQ13*AS13</f>
        <v>7.2556597379766772E-8</v>
      </c>
      <c r="AU13" s="79"/>
    </row>
    <row r="14" spans="1:47" ht="14.25" customHeight="1" x14ac:dyDescent="0.3">
      <c r="A14" s="79"/>
      <c r="B14" s="79"/>
      <c r="C14" s="78"/>
      <c r="D14" s="85"/>
      <c r="E14" s="85"/>
      <c r="F14" s="85"/>
      <c r="G14" s="85"/>
      <c r="H14" s="78"/>
      <c r="I14" s="85"/>
      <c r="J14" s="85"/>
      <c r="K14" s="85"/>
      <c r="L14" s="85"/>
      <c r="M14" s="80" t="s">
        <v>118</v>
      </c>
      <c r="N14" s="81">
        <f>Utilitas!J14/Utilitas!C30</f>
        <v>1.9642121495572963E-2</v>
      </c>
      <c r="O14" s="188" t="s">
        <v>203</v>
      </c>
      <c r="P14" s="125">
        <f>CF!E32</f>
        <v>0.82399999999999995</v>
      </c>
      <c r="Q14" s="86">
        <f t="shared" si="2"/>
        <v>1.6185108112352121E-2</v>
      </c>
      <c r="R14" s="78"/>
      <c r="S14" s="78"/>
      <c r="T14" s="78"/>
      <c r="U14" s="78"/>
      <c r="V14" s="87" t="s">
        <v>29</v>
      </c>
      <c r="W14" s="111">
        <f>Utilitas!O14/Utilitas!C30</f>
        <v>1.058833295138436E-6</v>
      </c>
      <c r="X14" s="18" t="s">
        <v>206</v>
      </c>
      <c r="Y14" s="146">
        <f t="shared" si="3"/>
        <v>1.22</v>
      </c>
      <c r="Z14" s="127">
        <f t="shared" si="4"/>
        <v>1.2917766200688919E-6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80" t="s">
        <v>119</v>
      </c>
      <c r="AL14" s="94">
        <f>Utilitas!X14/Utilitas!C30</f>
        <v>6.5392579181956359E-2</v>
      </c>
      <c r="AM14" s="188" t="s">
        <v>203</v>
      </c>
      <c r="AN14" s="131">
        <v>0</v>
      </c>
      <c r="AO14" s="132">
        <f t="shared" si="5"/>
        <v>0</v>
      </c>
      <c r="AP14" s="95" t="s">
        <v>121</v>
      </c>
      <c r="AQ14" s="111">
        <f>Utilitas!AA14/Utilitas!C30</f>
        <v>3.9284242991145929E-8</v>
      </c>
      <c r="AR14" s="188" t="s">
        <v>203</v>
      </c>
      <c r="AS14" s="147">
        <f>AS13</f>
        <v>0.67900000000000005</v>
      </c>
      <c r="AT14" s="130">
        <f t="shared" si="6"/>
        <v>2.6674000990988087E-8</v>
      </c>
      <c r="AU14" s="79"/>
    </row>
    <row r="15" spans="1:47" ht="14.25" customHeight="1" x14ac:dyDescent="0.3">
      <c r="A15" s="79"/>
      <c r="B15" s="79"/>
      <c r="C15" s="78"/>
      <c r="D15" s="85"/>
      <c r="E15" s="85"/>
      <c r="F15" s="85"/>
      <c r="G15" s="85"/>
      <c r="H15" s="78"/>
      <c r="I15" s="85"/>
      <c r="J15" s="85"/>
      <c r="K15" s="85"/>
      <c r="L15" s="85"/>
      <c r="M15" s="78"/>
      <c r="N15" s="78"/>
      <c r="O15" s="78"/>
      <c r="P15" s="78"/>
      <c r="Q15" s="78"/>
      <c r="R15" s="78"/>
      <c r="S15" s="78"/>
      <c r="T15" s="78"/>
      <c r="U15" s="78"/>
      <c r="V15" s="87" t="s">
        <v>31</v>
      </c>
      <c r="W15" s="111">
        <f>Utilitas!O15/Utilitas!C30</f>
        <v>4.138249075389676E-5</v>
      </c>
      <c r="X15" s="18" t="s">
        <v>207</v>
      </c>
      <c r="Y15" s="146">
        <f t="shared" si="3"/>
        <v>0.85299999999999998</v>
      </c>
      <c r="Z15" s="127">
        <f t="shared" si="4"/>
        <v>3.5299264613073934E-5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80" t="s">
        <v>122</v>
      </c>
      <c r="AL15" s="94">
        <f>Utilitas!X15/Utilitas!C30</f>
        <v>7.2658421313284859E-5</v>
      </c>
      <c r="AM15" s="188" t="s">
        <v>203</v>
      </c>
      <c r="AN15" s="125">
        <v>0</v>
      </c>
      <c r="AO15" s="132">
        <f t="shared" si="5"/>
        <v>0</v>
      </c>
      <c r="AP15" s="78"/>
      <c r="AQ15" s="97"/>
      <c r="AR15" s="78"/>
      <c r="AS15" s="78"/>
      <c r="AT15" s="78"/>
      <c r="AU15" s="79"/>
    </row>
    <row r="16" spans="1:47" ht="14.25" customHeight="1" x14ac:dyDescent="0.3">
      <c r="A16" s="98"/>
      <c r="B16" s="98"/>
      <c r="C16" s="84"/>
      <c r="D16" s="99"/>
      <c r="E16" s="99"/>
      <c r="F16" s="99"/>
      <c r="G16" s="99"/>
      <c r="H16" s="84"/>
      <c r="I16" s="99"/>
      <c r="J16" s="99"/>
      <c r="K16" s="99"/>
      <c r="L16" s="9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115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101" t="s">
        <v>123</v>
      </c>
      <c r="AL16" s="102">
        <f>Utilitas!X16/Utilitas!C30</f>
        <v>3.2696289590978186E-3</v>
      </c>
      <c r="AM16" s="188" t="s">
        <v>203</v>
      </c>
      <c r="AN16" s="133">
        <v>0</v>
      </c>
      <c r="AO16" s="132">
        <f t="shared" si="5"/>
        <v>0</v>
      </c>
      <c r="AP16" s="84"/>
      <c r="AQ16" s="84"/>
      <c r="AR16" s="84"/>
      <c r="AS16" s="84"/>
      <c r="AT16" s="84"/>
      <c r="AU16" s="98"/>
    </row>
    <row r="17" spans="1:47" ht="12.75" customHeight="1" x14ac:dyDescent="0.3">
      <c r="A17" s="103"/>
      <c r="B17" s="98"/>
      <c r="C17" s="84"/>
      <c r="D17" s="99"/>
      <c r="E17" s="99"/>
      <c r="F17" s="99"/>
      <c r="G17" s="99"/>
      <c r="H17" s="84"/>
      <c r="I17" s="99"/>
      <c r="J17" s="99"/>
      <c r="K17" s="99"/>
      <c r="L17" s="99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5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98"/>
    </row>
    <row r="18" spans="1:47" ht="12.75" customHeight="1" x14ac:dyDescent="0.3">
      <c r="A18" s="76">
        <v>3</v>
      </c>
      <c r="B18" s="104" t="s">
        <v>102</v>
      </c>
      <c r="C18" s="78"/>
      <c r="D18" s="85"/>
      <c r="E18" s="85"/>
      <c r="F18" s="85"/>
      <c r="G18" s="85"/>
      <c r="H18" s="79" t="s">
        <v>22</v>
      </c>
      <c r="I18" s="116">
        <f>'UT Unit Fungsi'!G18</f>
        <v>2.2169610837840557</v>
      </c>
      <c r="J18" s="188" t="s">
        <v>203</v>
      </c>
      <c r="K18" s="116">
        <f>K8</f>
        <v>0.47899999999999998</v>
      </c>
      <c r="L18" s="116">
        <f>I18*K18</f>
        <v>1.0619243591325627</v>
      </c>
      <c r="M18" s="78"/>
      <c r="N18" s="78"/>
      <c r="O18" s="78"/>
      <c r="P18" s="78"/>
      <c r="Q18" s="78"/>
      <c r="R18" s="117">
        <f>Utilitas!L18/Utilitas!C30</f>
        <v>7.40849022395951E-4</v>
      </c>
      <c r="S18" s="190" t="s">
        <v>203</v>
      </c>
      <c r="T18" s="117">
        <f>CF!E10</f>
        <v>1.0499999999999999E-3</v>
      </c>
      <c r="U18" s="117">
        <f>R18*T18</f>
        <v>7.778914735157485E-7</v>
      </c>
      <c r="V18" s="87" t="s">
        <v>24</v>
      </c>
      <c r="W18" s="117">
        <f>Utilitas!O18/Utilitas!C30</f>
        <v>1.130771077879893E-5</v>
      </c>
      <c r="X18" s="20" t="s">
        <v>205</v>
      </c>
      <c r="Y18" s="145">
        <f t="shared" ref="Y18:Y20" si="7">Y8</f>
        <v>0.82899999999999996</v>
      </c>
      <c r="Z18" s="126">
        <f t="shared" ref="Z18:Z20" si="8">W18*Y18</f>
        <v>9.374092235624312E-6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/>
    </row>
    <row r="19" spans="1:47" ht="14.25" customHeight="1" x14ac:dyDescent="0.3">
      <c r="A19" s="79"/>
      <c r="B19" s="77"/>
      <c r="C19" s="78"/>
      <c r="D19" s="85"/>
      <c r="E19" s="85"/>
      <c r="F19" s="85"/>
      <c r="G19" s="85"/>
      <c r="H19" s="78"/>
      <c r="I19" s="10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7" t="s">
        <v>29</v>
      </c>
      <c r="W19" s="117">
        <f>Utilitas!O19/Utilitas!C30</f>
        <v>1.7195193558045894E-4</v>
      </c>
      <c r="X19" s="18" t="s">
        <v>206</v>
      </c>
      <c r="Y19" s="146">
        <f t="shared" si="7"/>
        <v>1.22</v>
      </c>
      <c r="Z19" s="127">
        <f t="shared" si="8"/>
        <v>2.0978136140815991E-4</v>
      </c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1:47" ht="14.25" customHeight="1" x14ac:dyDescent="0.3">
      <c r="A20" s="79"/>
      <c r="B20" s="77"/>
      <c r="C20" s="78"/>
      <c r="D20" s="85"/>
      <c r="E20" s="85"/>
      <c r="F20" s="85"/>
      <c r="G20" s="85"/>
      <c r="H20" s="78"/>
      <c r="I20" s="10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87" t="s">
        <v>31</v>
      </c>
      <c r="W20" s="117">
        <f>Utilitas!O20/Utilitas!C30</f>
        <v>6.7204152126163026E-3</v>
      </c>
      <c r="X20" s="18" t="s">
        <v>207</v>
      </c>
      <c r="Y20" s="146">
        <f t="shared" si="7"/>
        <v>0.85299999999999998</v>
      </c>
      <c r="Z20" s="127">
        <f t="shared" si="8"/>
        <v>5.7325141763617058E-3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</row>
    <row r="21" spans="1:47" ht="14.25" customHeight="1" x14ac:dyDescent="0.3">
      <c r="A21" s="79"/>
      <c r="B21" s="77"/>
      <c r="C21" s="78"/>
      <c r="D21" s="85"/>
      <c r="E21" s="85"/>
      <c r="F21" s="85"/>
      <c r="G21" s="85"/>
      <c r="H21" s="78"/>
      <c r="I21" s="10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85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9"/>
    </row>
    <row r="22" spans="1:47" ht="14.25" customHeight="1" x14ac:dyDescent="0.3">
      <c r="A22" s="76">
        <v>4</v>
      </c>
      <c r="B22" s="77" t="s">
        <v>103</v>
      </c>
      <c r="C22" s="80" t="s">
        <v>124</v>
      </c>
      <c r="D22" s="111">
        <f>'UT Unit Fungsi'!D22</f>
        <v>0.21396490426821876</v>
      </c>
      <c r="E22" s="188" t="s">
        <v>203</v>
      </c>
      <c r="F22" s="94">
        <v>0</v>
      </c>
      <c r="G22" s="111">
        <f t="shared" ref="G22:G28" si="9">D22*F22</f>
        <v>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80" t="s">
        <v>124</v>
      </c>
      <c r="AG22" s="111">
        <f>Utilitas!U22/Utilitas!C30</f>
        <v>2.1398182754583456E-4</v>
      </c>
      <c r="AH22" s="188" t="s">
        <v>203</v>
      </c>
      <c r="AI22" s="81">
        <f>CF!E34</f>
        <v>2.85</v>
      </c>
      <c r="AJ22" s="111">
        <f t="shared" ref="AJ22:AJ28" si="10">AG22*AI22</f>
        <v>6.0984820850562853E-4</v>
      </c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9"/>
    </row>
    <row r="23" spans="1:47" ht="14.25" customHeight="1" x14ac:dyDescent="0.3">
      <c r="A23" s="79"/>
      <c r="B23" s="79"/>
      <c r="C23" s="108" t="s">
        <v>125</v>
      </c>
      <c r="D23" s="111">
        <f>'UT Unit Fungsi'!D23</f>
        <v>2.3811919465810231E-3</v>
      </c>
      <c r="E23" s="188" t="s">
        <v>203</v>
      </c>
      <c r="F23" s="94">
        <v>0</v>
      </c>
      <c r="G23" s="111">
        <f t="shared" si="9"/>
        <v>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108" t="s">
        <v>125</v>
      </c>
      <c r="AG23" s="111">
        <f>Utilitas!U23/Utilitas!C30</f>
        <v>2.3811919465810231E-6</v>
      </c>
      <c r="AH23" s="188" t="s">
        <v>203</v>
      </c>
      <c r="AI23" s="86">
        <f>F23</f>
        <v>0</v>
      </c>
      <c r="AJ23" s="111">
        <f t="shared" si="10"/>
        <v>0</v>
      </c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9"/>
    </row>
    <row r="24" spans="1:47" ht="14.25" customHeight="1" x14ac:dyDescent="0.3">
      <c r="A24" s="79"/>
      <c r="B24" s="79"/>
      <c r="C24" s="108" t="s">
        <v>126</v>
      </c>
      <c r="D24" s="111">
        <f>'UT Unit Fungsi'!D24</f>
        <v>2.6502286676525925E-2</v>
      </c>
      <c r="E24" s="188" t="s">
        <v>203</v>
      </c>
      <c r="F24" s="94">
        <v>0</v>
      </c>
      <c r="G24" s="111">
        <f t="shared" si="9"/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108" t="s">
        <v>126</v>
      </c>
      <c r="AG24" s="111">
        <f>Utilitas!U24/Utilitas!C30</f>
        <v>2.6502286676525927E-5</v>
      </c>
      <c r="AH24" s="188" t="s">
        <v>203</v>
      </c>
      <c r="AI24" s="81">
        <f>CF!E29</f>
        <v>1.8400000000000001E-3</v>
      </c>
      <c r="AJ24" s="111">
        <f t="shared" si="10"/>
        <v>4.8764207484807707E-8</v>
      </c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</row>
    <row r="25" spans="1:47" ht="14.25" customHeight="1" x14ac:dyDescent="0.3">
      <c r="A25" s="79"/>
      <c r="B25" s="79"/>
      <c r="C25" s="80" t="s">
        <v>127</v>
      </c>
      <c r="D25" s="111">
        <f>'UT Unit Fungsi'!D25</f>
        <v>4.7189908736343759E-3</v>
      </c>
      <c r="E25" s="188" t="s">
        <v>203</v>
      </c>
      <c r="F25" s="94">
        <v>0</v>
      </c>
      <c r="G25" s="111">
        <f t="shared" si="9"/>
        <v>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0" t="s">
        <v>127</v>
      </c>
      <c r="AG25" s="111">
        <f>Utilitas!U25/Utilitas!C30</f>
        <v>4.7189908736343763E-6</v>
      </c>
      <c r="AH25" s="188" t="s">
        <v>203</v>
      </c>
      <c r="AI25" s="86">
        <f>CF!E31</f>
        <v>0.66600000000000004</v>
      </c>
      <c r="AJ25" s="111">
        <f t="shared" si="10"/>
        <v>3.1428479218404946E-6</v>
      </c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</row>
    <row r="26" spans="1:47" ht="14.25" customHeight="1" x14ac:dyDescent="0.3">
      <c r="A26" s="79"/>
      <c r="B26" s="79"/>
      <c r="C26" s="108" t="s">
        <v>128</v>
      </c>
      <c r="D26" s="118">
        <f>'UT Unit Fungsi'!D26</f>
        <v>5.0335902652099982E-3</v>
      </c>
      <c r="E26" s="188" t="s">
        <v>203</v>
      </c>
      <c r="F26" s="94">
        <v>0</v>
      </c>
      <c r="G26" s="111">
        <f t="shared" si="9"/>
        <v>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108" t="s">
        <v>128</v>
      </c>
      <c r="AG26" s="111">
        <f>Utilitas!U26/Utilitas!C30</f>
        <v>5.0335902652099982E-6</v>
      </c>
      <c r="AH26" s="188" t="s">
        <v>203</v>
      </c>
      <c r="AI26" s="111">
        <f>CF!E13</f>
        <v>8.5500000000000007</v>
      </c>
      <c r="AJ26" s="111">
        <f t="shared" si="10"/>
        <v>4.3037196767545489E-5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</row>
    <row r="27" spans="1:47" ht="14.25" customHeight="1" x14ac:dyDescent="0.3">
      <c r="A27" s="79"/>
      <c r="B27" s="79"/>
      <c r="C27" s="108" t="s">
        <v>129</v>
      </c>
      <c r="D27" s="111">
        <f>'UT Unit Fungsi'!D27</f>
        <v>1.3180597136765854E-2</v>
      </c>
      <c r="E27" s="188" t="s">
        <v>203</v>
      </c>
      <c r="F27" s="94">
        <v>0</v>
      </c>
      <c r="G27" s="111">
        <f t="shared" si="9"/>
        <v>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108" t="s">
        <v>129</v>
      </c>
      <c r="AG27" s="111">
        <f>Utilitas!U27/Utilitas!C30</f>
        <v>1.3180597136765854E-5</v>
      </c>
      <c r="AH27" s="188" t="s">
        <v>203</v>
      </c>
      <c r="AI27" s="81">
        <f>CF!E25</f>
        <v>3.4000000000000002E-2</v>
      </c>
      <c r="AJ27" s="111">
        <f t="shared" si="10"/>
        <v>4.4814030265003905E-7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9"/>
    </row>
    <row r="28" spans="1:47" ht="14.25" customHeight="1" x14ac:dyDescent="0.3">
      <c r="A28" s="79"/>
      <c r="B28" s="79"/>
      <c r="C28" s="80" t="s">
        <v>130</v>
      </c>
      <c r="D28" s="111">
        <f>'UT Unit Fungsi'!D28</f>
        <v>1.4428178992951074E-3</v>
      </c>
      <c r="E28" s="188" t="s">
        <v>203</v>
      </c>
      <c r="F28" s="94">
        <v>0</v>
      </c>
      <c r="G28" s="111">
        <f t="shared" si="9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80" t="s">
        <v>130</v>
      </c>
      <c r="AG28" s="111">
        <f>Utilitas!U28/Utilitas!C30</f>
        <v>1.4428178992951075E-6</v>
      </c>
      <c r="AH28" s="188" t="s">
        <v>203</v>
      </c>
      <c r="AI28" s="81">
        <f>CF!E34</f>
        <v>2.85</v>
      </c>
      <c r="AJ28" s="111">
        <f t="shared" si="10"/>
        <v>4.1120310129910565E-6</v>
      </c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9"/>
    </row>
    <row r="29" spans="1:47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ht="14.25" customHeight="1" x14ac:dyDescent="0.35">
      <c r="A30" s="109"/>
      <c r="B30" s="135" t="s">
        <v>92</v>
      </c>
      <c r="C30" s="109"/>
      <c r="D30" s="136" t="s">
        <v>100</v>
      </c>
      <c r="E30" s="137">
        <f>SUM(G5:G7,L8,Z8:Z10,AE6,AT6)</f>
        <v>3.2247149482422595E-3</v>
      </c>
      <c r="F30" s="109"/>
      <c r="G30" s="381" t="s">
        <v>210</v>
      </c>
      <c r="H30" s="381"/>
      <c r="I30" s="381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</row>
    <row r="31" spans="1:47" ht="14.25" customHeight="1" x14ac:dyDescent="0.35">
      <c r="A31" s="109"/>
      <c r="B31" s="138">
        <f>SUM(G5:G7,L8,L13,L18,Q13:Q14,U18,Z8:Z10,Z13:Z15,Z18:Z20,AE6,AJ22:AJ28,AO13:AO16,AT6,AT13:AT14)</f>
        <v>1.0964812010015832</v>
      </c>
      <c r="C31" s="109"/>
      <c r="D31" s="136" t="s">
        <v>101</v>
      </c>
      <c r="E31" s="137">
        <f>SUM(L13,Q13:Q14,Z13:Z15,AO13:AO16,AT13:AT14)</f>
        <v>2.4719042210580792E-2</v>
      </c>
      <c r="F31" s="109"/>
      <c r="G31" s="197" t="s">
        <v>86</v>
      </c>
      <c r="H31" s="195" t="s">
        <v>211</v>
      </c>
      <c r="I31" s="197" t="s">
        <v>212</v>
      </c>
      <c r="J31" s="109"/>
      <c r="K31" s="109"/>
      <c r="L31" s="109"/>
      <c r="M31" s="10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ht="14.25" customHeight="1" x14ac:dyDescent="0.35">
      <c r="A32" s="109"/>
      <c r="B32" s="135" t="s">
        <v>93</v>
      </c>
      <c r="C32" s="109"/>
      <c r="D32" s="136" t="s">
        <v>102</v>
      </c>
      <c r="E32" s="137">
        <f>SUM(L18,U18,Z18:Z20)</f>
        <v>1.0678768066540416</v>
      </c>
      <c r="F32" s="109"/>
      <c r="G32" s="215">
        <f>G5</f>
        <v>5.6176063379844325E-6</v>
      </c>
      <c r="H32" s="216">
        <f>(G32/$G$71)*100%</f>
        <v>5.1233038312494713E-6</v>
      </c>
      <c r="I32" s="220"/>
      <c r="J32" s="109"/>
      <c r="K32" s="109"/>
      <c r="L32" s="109"/>
      <c r="M32" s="109"/>
      <c r="N32" s="140"/>
      <c r="O32" s="139"/>
      <c r="P32" s="139"/>
      <c r="Q32" s="139"/>
      <c r="R32" s="139"/>
      <c r="S32" s="139"/>
      <c r="T32" s="139"/>
      <c r="U32" s="139"/>
      <c r="V32" s="139"/>
      <c r="W32" s="13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ht="14.25" customHeight="1" x14ac:dyDescent="0.3">
      <c r="A33" s="109"/>
      <c r="B33" s="109"/>
      <c r="C33" s="109"/>
      <c r="D33" s="136" t="s">
        <v>103</v>
      </c>
      <c r="E33" s="137">
        <f>SUM(AJ22:AJ28)</f>
        <v>6.6063718871814045E-4</v>
      </c>
      <c r="F33" s="109"/>
      <c r="G33" s="215">
        <f t="shared" ref="G33:G34" si="11">G6</f>
        <v>0</v>
      </c>
      <c r="H33" s="216">
        <f t="shared" ref="H33:H70" si="12">(G33/$G$71)*100%</f>
        <v>0</v>
      </c>
      <c r="I33" s="220"/>
      <c r="J33" s="109"/>
      <c r="K33" s="109"/>
      <c r="L33" s="109"/>
      <c r="M33" s="109"/>
      <c r="N33" s="141"/>
      <c r="O33" s="142"/>
      <c r="P33" s="142"/>
      <c r="Q33" s="142"/>
      <c r="R33" s="141"/>
      <c r="S33" s="139"/>
      <c r="T33" s="139"/>
      <c r="U33" s="139"/>
      <c r="V33" s="139"/>
      <c r="W33" s="13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</row>
    <row r="34" spans="1:47" ht="14.25" customHeight="1" x14ac:dyDescent="0.3">
      <c r="A34" s="109"/>
      <c r="B34" s="109"/>
      <c r="C34" s="109"/>
      <c r="D34" s="109"/>
      <c r="E34" s="137">
        <f>SUM(E30:E33)</f>
        <v>1.0964812010015828</v>
      </c>
      <c r="F34" s="109"/>
      <c r="G34" s="215">
        <f t="shared" si="11"/>
        <v>0</v>
      </c>
      <c r="H34" s="216">
        <f t="shared" si="12"/>
        <v>0</v>
      </c>
      <c r="I34" s="220"/>
      <c r="J34" s="109"/>
      <c r="K34" s="109"/>
      <c r="L34" s="109"/>
      <c r="M34" s="109"/>
      <c r="N34" s="141"/>
      <c r="O34" s="142"/>
      <c r="P34" s="142"/>
      <c r="Q34" s="142"/>
      <c r="R34" s="141"/>
      <c r="S34" s="139"/>
      <c r="T34" s="139"/>
      <c r="U34" s="139"/>
      <c r="V34" s="139"/>
      <c r="W34" s="13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14.25" customHeight="1" x14ac:dyDescent="0.3">
      <c r="A35" s="109"/>
      <c r="B35" s="109"/>
      <c r="C35" s="109"/>
      <c r="D35" s="109"/>
      <c r="E35" s="109"/>
      <c r="F35" s="109"/>
      <c r="G35" s="223">
        <f>G22</f>
        <v>0</v>
      </c>
      <c r="H35" s="224">
        <f t="shared" si="12"/>
        <v>0</v>
      </c>
      <c r="I35" s="229"/>
      <c r="J35" s="109"/>
      <c r="K35" s="109"/>
      <c r="L35" s="109"/>
      <c r="M35" s="109"/>
      <c r="N35" s="141"/>
      <c r="O35" s="142"/>
      <c r="P35" s="142"/>
      <c r="Q35" s="142"/>
      <c r="R35" s="141"/>
      <c r="S35" s="139"/>
      <c r="T35" s="139"/>
      <c r="U35" s="139"/>
      <c r="V35" s="139"/>
      <c r="W35" s="13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ht="14.25" customHeight="1" x14ac:dyDescent="0.3">
      <c r="A36" s="109"/>
      <c r="B36" s="109"/>
      <c r="C36" s="109"/>
      <c r="D36" s="109"/>
      <c r="E36" s="109"/>
      <c r="F36" s="109"/>
      <c r="G36" s="215">
        <f t="shared" ref="G36:G41" si="13">G23</f>
        <v>0</v>
      </c>
      <c r="H36" s="216">
        <f t="shared" si="12"/>
        <v>0</v>
      </c>
      <c r="I36" s="220"/>
      <c r="J36" s="109"/>
      <c r="K36" s="109"/>
      <c r="L36" s="109"/>
      <c r="M36" s="109"/>
      <c r="N36" s="141"/>
      <c r="O36" s="142"/>
      <c r="P36" s="142"/>
      <c r="Q36" s="142"/>
      <c r="R36" s="141"/>
      <c r="S36" s="139"/>
      <c r="T36" s="139"/>
      <c r="U36" s="139"/>
      <c r="V36" s="139"/>
      <c r="W36" s="13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</row>
    <row r="37" spans="1:47" ht="14.25" customHeight="1" x14ac:dyDescent="0.3">
      <c r="A37" s="109"/>
      <c r="B37" s="109"/>
      <c r="C37" s="109"/>
      <c r="D37" s="109"/>
      <c r="E37" s="109"/>
      <c r="F37" s="109"/>
      <c r="G37" s="215">
        <f t="shared" si="13"/>
        <v>0</v>
      </c>
      <c r="H37" s="216">
        <f t="shared" si="12"/>
        <v>0</v>
      </c>
      <c r="I37" s="220"/>
      <c r="J37" s="109"/>
      <c r="K37" s="109"/>
      <c r="L37" s="109"/>
      <c r="M37" s="109"/>
      <c r="N37" s="141"/>
      <c r="O37" s="142"/>
      <c r="P37" s="142"/>
      <c r="Q37" s="142"/>
      <c r="R37" s="141"/>
      <c r="S37" s="139"/>
      <c r="T37" s="139"/>
      <c r="U37" s="139"/>
      <c r="V37" s="139"/>
      <c r="W37" s="13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ht="14.25" customHeight="1" x14ac:dyDescent="0.3">
      <c r="A38" s="109"/>
      <c r="B38" s="109"/>
      <c r="C38" s="109"/>
      <c r="D38" s="109"/>
      <c r="E38" s="109"/>
      <c r="F38" s="109"/>
      <c r="G38" s="215">
        <f t="shared" si="13"/>
        <v>0</v>
      </c>
      <c r="H38" s="216">
        <f t="shared" si="12"/>
        <v>0</v>
      </c>
      <c r="I38" s="220"/>
      <c r="J38" s="109"/>
      <c r="K38" s="109"/>
      <c r="L38" s="109"/>
      <c r="M38" s="109"/>
      <c r="N38" s="141"/>
      <c r="O38" s="142"/>
      <c r="P38" s="142"/>
      <c r="Q38" s="142"/>
      <c r="R38" s="141"/>
      <c r="S38" s="139"/>
      <c r="T38" s="139"/>
      <c r="U38" s="139"/>
      <c r="V38" s="139"/>
      <c r="W38" s="13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ht="14.25" customHeight="1" x14ac:dyDescent="0.3">
      <c r="A39" s="109"/>
      <c r="B39" s="109"/>
      <c r="C39" s="109"/>
      <c r="D39" s="109"/>
      <c r="E39" s="109"/>
      <c r="F39" s="109"/>
      <c r="G39" s="215">
        <f t="shared" si="13"/>
        <v>0</v>
      </c>
      <c r="H39" s="216">
        <f t="shared" si="12"/>
        <v>0</v>
      </c>
      <c r="I39" s="220"/>
      <c r="J39" s="109"/>
      <c r="K39" s="109"/>
      <c r="L39" s="109"/>
      <c r="M39" s="109"/>
      <c r="N39" s="140"/>
      <c r="O39" s="139"/>
      <c r="P39" s="139"/>
      <c r="Q39" s="139"/>
      <c r="R39" s="141"/>
      <c r="S39" s="143"/>
      <c r="T39" s="143"/>
      <c r="U39" s="143"/>
      <c r="V39" s="143"/>
      <c r="W39" s="143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ht="14.25" customHeight="1" x14ac:dyDescent="0.3">
      <c r="A40" s="109"/>
      <c r="B40" s="109"/>
      <c r="C40" s="109"/>
      <c r="D40" s="109"/>
      <c r="E40" s="109"/>
      <c r="F40" s="109"/>
      <c r="G40" s="215">
        <f t="shared" si="13"/>
        <v>0</v>
      </c>
      <c r="H40" s="216">
        <f t="shared" si="12"/>
        <v>0</v>
      </c>
      <c r="I40" s="220"/>
      <c r="J40" s="109"/>
      <c r="K40" s="109"/>
      <c r="L40" s="109"/>
      <c r="M40" s="109"/>
      <c r="N40" s="144"/>
      <c r="O40" s="142"/>
      <c r="P40" s="142"/>
      <c r="Q40" s="142"/>
      <c r="R40" s="141"/>
      <c r="S40" s="143"/>
      <c r="T40" s="143"/>
      <c r="U40" s="143"/>
      <c r="V40" s="143"/>
      <c r="W40" s="143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ht="14.25" customHeight="1" x14ac:dyDescent="0.3">
      <c r="A41" s="109"/>
      <c r="B41" s="109"/>
      <c r="C41" s="109"/>
      <c r="D41" s="109"/>
      <c r="E41" s="109"/>
      <c r="F41" s="109"/>
      <c r="G41" s="223">
        <f t="shared" si="13"/>
        <v>0</v>
      </c>
      <c r="H41" s="224">
        <f t="shared" si="12"/>
        <v>0</v>
      </c>
      <c r="I41" s="225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ht="14.25" customHeight="1" x14ac:dyDescent="0.3">
      <c r="A42" s="109"/>
      <c r="B42" s="109"/>
      <c r="C42" s="109"/>
      <c r="D42" s="109"/>
      <c r="E42" s="109"/>
      <c r="F42" s="109"/>
      <c r="G42" s="215">
        <f>L8</f>
        <v>3.2009294784782825E-3</v>
      </c>
      <c r="H42" s="216">
        <f t="shared" si="12"/>
        <v>2.9192743802213721E-3</v>
      </c>
      <c r="I42" s="220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ht="14.25" customHeight="1" x14ac:dyDescent="0.3">
      <c r="A43" s="109"/>
      <c r="B43" s="109"/>
      <c r="C43" s="109"/>
      <c r="D43" s="109"/>
      <c r="E43" s="109"/>
      <c r="F43" s="109"/>
      <c r="G43" s="215">
        <f>L13</f>
        <v>6.5390416488913484E-3</v>
      </c>
      <c r="H43" s="216">
        <f t="shared" si="12"/>
        <v>5.9636605195950883E-3</v>
      </c>
      <c r="I43" s="220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ht="14.25" customHeight="1" x14ac:dyDescent="0.3">
      <c r="A44" s="109"/>
      <c r="B44" s="109"/>
      <c r="C44" s="109"/>
      <c r="D44" s="109"/>
      <c r="E44" s="109"/>
      <c r="F44" s="109"/>
      <c r="G44" s="221">
        <f>L18</f>
        <v>1.0619243591325627</v>
      </c>
      <c r="H44" s="222">
        <f t="shared" si="12"/>
        <v>0.96848387201034136</v>
      </c>
      <c r="I44" s="246" t="s">
        <v>248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ht="14.25" customHeight="1" x14ac:dyDescent="0.3">
      <c r="A45" s="109"/>
      <c r="B45" s="109"/>
      <c r="C45" s="109"/>
      <c r="D45" s="109"/>
      <c r="E45" s="109"/>
      <c r="F45" s="109"/>
      <c r="G45" s="217">
        <f>Q13</f>
        <v>0</v>
      </c>
      <c r="H45" s="216">
        <f t="shared" si="12"/>
        <v>0</v>
      </c>
      <c r="I45" s="220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ht="14.25" customHeight="1" x14ac:dyDescent="0.3">
      <c r="A46" s="109"/>
      <c r="B46" s="109"/>
      <c r="C46" s="109"/>
      <c r="D46" s="109"/>
      <c r="E46" s="109"/>
      <c r="F46" s="109"/>
      <c r="G46" s="217">
        <f>Q14</f>
        <v>1.6185108112352121E-2</v>
      </c>
      <c r="H46" s="216">
        <f t="shared" si="12"/>
        <v>1.4760953582758918E-2</v>
      </c>
      <c r="I46" s="220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ht="14.25" customHeight="1" x14ac:dyDescent="0.3">
      <c r="A47" s="109"/>
      <c r="B47" s="109"/>
      <c r="C47" s="109"/>
      <c r="D47" s="109"/>
      <c r="E47" s="109"/>
      <c r="F47" s="109"/>
      <c r="G47" s="215">
        <f>U18</f>
        <v>7.778914735157485E-7</v>
      </c>
      <c r="H47" s="216">
        <f t="shared" si="12"/>
        <v>7.0944351148490445E-7</v>
      </c>
      <c r="I47" s="220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ht="14.25" customHeight="1" x14ac:dyDescent="0.3">
      <c r="A48" s="109"/>
      <c r="B48" s="109"/>
      <c r="C48" s="109"/>
      <c r="D48" s="109"/>
      <c r="E48" s="109"/>
      <c r="F48" s="109"/>
      <c r="G48" s="215">
        <f>Z8</f>
        <v>2.8256069194508937E-8</v>
      </c>
      <c r="H48" s="216">
        <f t="shared" si="12"/>
        <v>2.5769770761868391E-8</v>
      </c>
      <c r="I48" s="220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ht="14.25" customHeight="1" x14ac:dyDescent="0.3">
      <c r="A49" s="109"/>
      <c r="B49" s="109"/>
      <c r="C49" s="109"/>
      <c r="D49" s="109"/>
      <c r="E49" s="109"/>
      <c r="F49" s="109"/>
      <c r="G49" s="215">
        <f t="shared" ref="G49:G50" si="14">Z9</f>
        <v>6.3233820562812899E-7</v>
      </c>
      <c r="H49" s="216">
        <f t="shared" si="12"/>
        <v>5.7669771725271556E-7</v>
      </c>
      <c r="I49" s="220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ht="14.25" customHeight="1" x14ac:dyDescent="0.3">
      <c r="A50" s="109"/>
      <c r="B50" s="109"/>
      <c r="C50" s="109"/>
      <c r="D50" s="109"/>
      <c r="E50" s="109"/>
      <c r="F50" s="109"/>
      <c r="G50" s="215">
        <f t="shared" si="14"/>
        <v>1.7279360300106121E-5</v>
      </c>
      <c r="H50" s="216">
        <f t="shared" si="12"/>
        <v>1.5758920704087085E-5</v>
      </c>
      <c r="I50" s="220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ht="14.25" customHeight="1" x14ac:dyDescent="0.3">
      <c r="A51" s="109"/>
      <c r="B51" s="109"/>
      <c r="C51" s="109"/>
      <c r="D51" s="109"/>
      <c r="E51" s="109"/>
      <c r="F51" s="109"/>
      <c r="G51" s="215">
        <f>Z13</f>
        <v>5.7723112783068258E-8</v>
      </c>
      <c r="H51" s="216">
        <f t="shared" si="12"/>
        <v>5.2643960270674002E-8</v>
      </c>
      <c r="I51" s="220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ht="14.25" customHeight="1" x14ac:dyDescent="0.3">
      <c r="A52" s="109"/>
      <c r="B52" s="109"/>
      <c r="C52" s="109"/>
      <c r="D52" s="109"/>
      <c r="E52" s="109"/>
      <c r="F52" s="109"/>
      <c r="G52" s="215">
        <f t="shared" ref="G52:G53" si="15">Z14</f>
        <v>1.2917766200688919E-6</v>
      </c>
      <c r="H52" s="216">
        <f t="shared" si="12"/>
        <v>1.1781110509591188E-6</v>
      </c>
      <c r="I52" s="220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ht="14.25" customHeight="1" x14ac:dyDescent="0.3">
      <c r="A53" s="109"/>
      <c r="B53" s="109"/>
      <c r="C53" s="109"/>
      <c r="D53" s="109"/>
      <c r="E53" s="109"/>
      <c r="F53" s="109"/>
      <c r="G53" s="215">
        <f t="shared" si="15"/>
        <v>3.5299264613073934E-5</v>
      </c>
      <c r="H53" s="216">
        <f t="shared" si="12"/>
        <v>3.2193223724063616E-5</v>
      </c>
      <c r="I53" s="220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ht="14.25" customHeight="1" x14ac:dyDescent="0.3">
      <c r="A54" s="109"/>
      <c r="B54" s="109"/>
      <c r="C54" s="109"/>
      <c r="D54" s="109"/>
      <c r="E54" s="109"/>
      <c r="F54" s="109"/>
      <c r="G54" s="215">
        <f>Z18</f>
        <v>9.374092235624312E-6</v>
      </c>
      <c r="H54" s="216">
        <f t="shared" si="12"/>
        <v>8.549250299103647E-6</v>
      </c>
      <c r="I54" s="220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ht="14.25" customHeight="1" x14ac:dyDescent="0.3">
      <c r="A55" s="109"/>
      <c r="B55" s="109"/>
      <c r="C55" s="109"/>
      <c r="D55" s="109"/>
      <c r="E55" s="109"/>
      <c r="F55" s="109"/>
      <c r="G55" s="215">
        <f t="shared" ref="G55:G56" si="16">Z19</f>
        <v>2.0978136140815991E-4</v>
      </c>
      <c r="H55" s="216">
        <f t="shared" si="12"/>
        <v>1.9132235118717462E-4</v>
      </c>
      <c r="I55" s="220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ht="14.25" customHeight="1" x14ac:dyDescent="0.3">
      <c r="A56" s="109"/>
      <c r="B56" s="109"/>
      <c r="C56" s="109"/>
      <c r="D56" s="109"/>
      <c r="E56" s="109"/>
      <c r="F56" s="109"/>
      <c r="G56" s="215">
        <f t="shared" si="16"/>
        <v>5.7325141763617058E-3</v>
      </c>
      <c r="H56" s="216">
        <f t="shared" si="12"/>
        <v>5.2281007381844106E-3</v>
      </c>
      <c r="I56" s="220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ht="14.25" customHeight="1" x14ac:dyDescent="0.3">
      <c r="A57" s="109"/>
      <c r="B57" s="109"/>
      <c r="C57" s="109"/>
      <c r="D57" s="109"/>
      <c r="E57" s="109"/>
      <c r="F57" s="109"/>
      <c r="G57" s="215">
        <f>AE6</f>
        <v>0</v>
      </c>
      <c r="H57" s="216">
        <f t="shared" si="12"/>
        <v>0</v>
      </c>
      <c r="I57" s="220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ht="14.25" customHeight="1" x14ac:dyDescent="0.3">
      <c r="A58" s="109"/>
      <c r="B58" s="109"/>
      <c r="C58" s="109"/>
      <c r="D58" s="109"/>
      <c r="E58" s="109"/>
      <c r="F58" s="109"/>
      <c r="G58" s="215">
        <f>AJ22</f>
        <v>6.0984820850562853E-4</v>
      </c>
      <c r="H58" s="216">
        <f t="shared" si="12"/>
        <v>5.5618665230973527E-4</v>
      </c>
      <c r="I58" s="22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ht="14.25" customHeight="1" x14ac:dyDescent="0.3">
      <c r="A59" s="109"/>
      <c r="B59" s="109"/>
      <c r="C59" s="109"/>
      <c r="D59" s="109"/>
      <c r="E59" s="109"/>
      <c r="F59" s="109"/>
      <c r="G59" s="215">
        <f t="shared" ref="G59:G64" si="17">AJ23</f>
        <v>0</v>
      </c>
      <c r="H59" s="216">
        <f t="shared" si="12"/>
        <v>0</v>
      </c>
      <c r="I59" s="220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ht="14.25" customHeight="1" x14ac:dyDescent="0.3">
      <c r="A60" s="109"/>
      <c r="B60" s="109"/>
      <c r="C60" s="109"/>
      <c r="D60" s="109"/>
      <c r="E60" s="109"/>
      <c r="F60" s="109"/>
      <c r="G60" s="215">
        <f t="shared" si="17"/>
        <v>4.8764207484807707E-8</v>
      </c>
      <c r="H60" s="216">
        <f t="shared" si="12"/>
        <v>4.4473363921117781E-8</v>
      </c>
      <c r="I60" s="220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ht="14.25" customHeight="1" x14ac:dyDescent="0.3">
      <c r="A61" s="109"/>
      <c r="B61" s="109"/>
      <c r="C61" s="109"/>
      <c r="D61" s="109"/>
      <c r="E61" s="109"/>
      <c r="F61" s="109"/>
      <c r="G61" s="215">
        <f t="shared" si="17"/>
        <v>3.1428479218404946E-6</v>
      </c>
      <c r="H61" s="216">
        <f t="shared" si="12"/>
        <v>2.866303516165761E-6</v>
      </c>
      <c r="I61" s="220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ht="14.25" customHeight="1" x14ac:dyDescent="0.3">
      <c r="A62" s="109"/>
      <c r="B62" s="109"/>
      <c r="C62" s="109"/>
      <c r="D62" s="109"/>
      <c r="E62" s="109"/>
      <c r="F62" s="109"/>
      <c r="G62" s="215">
        <f t="shared" si="17"/>
        <v>4.3037196767545489E-5</v>
      </c>
      <c r="H62" s="216">
        <f t="shared" si="12"/>
        <v>3.9250282383531121E-5</v>
      </c>
      <c r="I62" s="220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ht="14.25" customHeight="1" x14ac:dyDescent="0.3">
      <c r="A63" s="109"/>
      <c r="B63" s="109"/>
      <c r="C63" s="109"/>
      <c r="D63" s="109"/>
      <c r="E63" s="109"/>
      <c r="F63" s="109"/>
      <c r="G63" s="215">
        <f t="shared" si="17"/>
        <v>4.4814030265003905E-7</v>
      </c>
      <c r="H63" s="216">
        <f t="shared" si="12"/>
        <v>4.0870769352058593E-7</v>
      </c>
      <c r="I63" s="220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ht="14.25" customHeight="1" x14ac:dyDescent="0.3">
      <c r="A64" s="109"/>
      <c r="B64" s="109"/>
      <c r="C64" s="109"/>
      <c r="D64" s="109"/>
      <c r="E64" s="109"/>
      <c r="F64" s="109"/>
      <c r="G64" s="215">
        <f t="shared" si="17"/>
        <v>4.1120310129910565E-6</v>
      </c>
      <c r="H64" s="216">
        <f t="shared" si="12"/>
        <v>3.7502065783115231E-6</v>
      </c>
      <c r="I64" s="220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ht="14.25" customHeight="1" x14ac:dyDescent="0.3">
      <c r="A65" s="109"/>
      <c r="B65" s="109"/>
      <c r="C65" s="109"/>
      <c r="D65" s="109"/>
      <c r="E65" s="109"/>
      <c r="F65" s="109"/>
      <c r="G65" s="223">
        <f>AO13</f>
        <v>1.9581444543930269E-3</v>
      </c>
      <c r="H65" s="224">
        <f t="shared" si="12"/>
        <v>1.7858440733907299E-3</v>
      </c>
      <c r="I65" s="225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ht="14.25" customHeight="1" x14ac:dyDescent="0.3">
      <c r="A66" s="109"/>
      <c r="B66" s="109"/>
      <c r="C66" s="109"/>
      <c r="D66" s="109"/>
      <c r="E66" s="109"/>
      <c r="F66" s="109"/>
      <c r="G66" s="215">
        <f t="shared" ref="G66:G67" si="18">AO14</f>
        <v>0</v>
      </c>
      <c r="H66" s="216">
        <f t="shared" si="12"/>
        <v>0</v>
      </c>
      <c r="I66" s="220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ht="14.25" customHeight="1" x14ac:dyDescent="0.3">
      <c r="A67" s="109"/>
      <c r="B67" s="109"/>
      <c r="C67" s="109"/>
      <c r="D67" s="109"/>
      <c r="E67" s="109"/>
      <c r="F67" s="109"/>
      <c r="G67" s="215">
        <f t="shared" si="18"/>
        <v>0</v>
      </c>
      <c r="H67" s="216">
        <f t="shared" si="12"/>
        <v>0</v>
      </c>
      <c r="I67" s="220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ht="14.25" customHeight="1" x14ac:dyDescent="0.3">
      <c r="A68" s="109"/>
      <c r="B68" s="109"/>
      <c r="C68" s="109"/>
      <c r="D68" s="109"/>
      <c r="E68" s="109"/>
      <c r="F68" s="109"/>
      <c r="G68" s="215">
        <f>AT6</f>
        <v>2.2790885106403757E-7</v>
      </c>
      <c r="H68" s="216">
        <f t="shared" si="12"/>
        <v>2.0785477293714997E-7</v>
      </c>
      <c r="I68" s="220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ht="14.25" customHeight="1" x14ac:dyDescent="0.3">
      <c r="A69" s="109"/>
      <c r="B69" s="109"/>
      <c r="C69" s="109"/>
      <c r="D69" s="109"/>
      <c r="E69" s="109"/>
      <c r="F69" s="109"/>
      <c r="G69" s="215">
        <f>AT13</f>
        <v>7.2556597379766772E-8</v>
      </c>
      <c r="H69" s="216">
        <f t="shared" si="12"/>
        <v>6.6172221934575615E-8</v>
      </c>
      <c r="I69" s="220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ht="14.25" customHeight="1" x14ac:dyDescent="0.3">
      <c r="A70" s="109"/>
      <c r="B70" s="109"/>
      <c r="C70" s="109"/>
      <c r="D70" s="109"/>
      <c r="E70" s="109"/>
      <c r="F70" s="109"/>
      <c r="G70" s="215">
        <f>AT14</f>
        <v>2.6674000990988087E-8</v>
      </c>
      <c r="H70" s="216">
        <f t="shared" si="12"/>
        <v>2.4326911365760455E-8</v>
      </c>
      <c r="I70" s="220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ht="14.25" customHeight="1" x14ac:dyDescent="0.3">
      <c r="A71" s="109"/>
      <c r="B71" s="109"/>
      <c r="C71" s="109"/>
      <c r="D71" s="109"/>
      <c r="E71" s="109"/>
      <c r="F71" s="109"/>
      <c r="G71" s="218">
        <f>SUM(G32:G70)</f>
        <v>1.0964812010015832</v>
      </c>
      <c r="H71" s="219">
        <f>SUM(H32:H70)</f>
        <v>0.99999999999999956</v>
      </c>
      <c r="I71" s="110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1:47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1:47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1:47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1:47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1:47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47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47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47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1:47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1:47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1:47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1:47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1:47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1:47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1:47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1:47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1:47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1:47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1:47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1:47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1:47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1:47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1:47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1:47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1:47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1:47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1:47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1:47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1:47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1:47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1:47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1:47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1:47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1:47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1:47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1:47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1:47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1:47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1:47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1:47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1:47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1:47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  <row r="123" spans="1:47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</row>
    <row r="124" spans="1:47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</row>
    <row r="125" spans="1:47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</row>
    <row r="126" spans="1:47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</row>
    <row r="127" spans="1:47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</row>
    <row r="128" spans="1:47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</row>
    <row r="129" spans="1:47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</row>
    <row r="130" spans="1:47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</row>
    <row r="131" spans="1:47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</row>
    <row r="132" spans="1:47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</row>
    <row r="133" spans="1:47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</row>
    <row r="134" spans="1:47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</row>
    <row r="135" spans="1:47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</row>
    <row r="136" spans="1:47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</row>
    <row r="137" spans="1:47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</row>
    <row r="138" spans="1:47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</row>
    <row r="139" spans="1:47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</row>
    <row r="140" spans="1:47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</row>
    <row r="141" spans="1:47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</row>
    <row r="142" spans="1:47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</row>
    <row r="143" spans="1:47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</row>
    <row r="144" spans="1:47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</row>
    <row r="145" spans="1:47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</row>
    <row r="146" spans="1:47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</row>
    <row r="147" spans="1:47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</row>
    <row r="148" spans="1:47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</row>
    <row r="149" spans="1:47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</row>
    <row r="150" spans="1:47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</row>
    <row r="151" spans="1:47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</row>
    <row r="152" spans="1:47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</row>
    <row r="153" spans="1:47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</row>
    <row r="154" spans="1:47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</row>
    <row r="155" spans="1:47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</row>
    <row r="156" spans="1:47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</row>
    <row r="157" spans="1:47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</row>
    <row r="158" spans="1:47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</row>
    <row r="159" spans="1:47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</row>
    <row r="160" spans="1:47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</row>
    <row r="161" spans="1:47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</row>
    <row r="162" spans="1:47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</row>
    <row r="163" spans="1:47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</row>
    <row r="164" spans="1:47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</row>
    <row r="165" spans="1:47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</row>
    <row r="166" spans="1:47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</row>
    <row r="167" spans="1:47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</row>
    <row r="168" spans="1:47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</row>
    <row r="169" spans="1:47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</row>
    <row r="170" spans="1:47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</row>
    <row r="171" spans="1:47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</row>
    <row r="172" spans="1:47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</row>
    <row r="173" spans="1:47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</row>
    <row r="174" spans="1:47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</row>
    <row r="175" spans="1:47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</row>
    <row r="176" spans="1:47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</row>
    <row r="177" spans="1:47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</row>
    <row r="178" spans="1:47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</row>
    <row r="179" spans="1:47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</row>
    <row r="180" spans="1:47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</row>
    <row r="181" spans="1:47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</row>
    <row r="182" spans="1:47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</row>
    <row r="183" spans="1:47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</row>
    <row r="184" spans="1:47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</row>
    <row r="185" spans="1:47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</row>
    <row r="186" spans="1:47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</row>
    <row r="187" spans="1:47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</row>
    <row r="188" spans="1:47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</row>
    <row r="189" spans="1:47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</row>
    <row r="190" spans="1:47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</row>
    <row r="191" spans="1:47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</row>
    <row r="192" spans="1:47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</row>
    <row r="193" spans="1:47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</row>
    <row r="194" spans="1:47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</row>
    <row r="195" spans="1:47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</row>
    <row r="196" spans="1:47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</row>
    <row r="197" spans="1:47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</row>
    <row r="198" spans="1:47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</row>
    <row r="199" spans="1:47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</row>
    <row r="200" spans="1:47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</row>
    <row r="201" spans="1:47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</row>
    <row r="202" spans="1:47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</row>
    <row r="203" spans="1:47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</row>
    <row r="204" spans="1:47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</row>
    <row r="205" spans="1:47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</row>
    <row r="206" spans="1:47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</row>
    <row r="207" spans="1:47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</row>
    <row r="208" spans="1:47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</row>
    <row r="209" spans="1:47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</row>
    <row r="210" spans="1:47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</row>
    <row r="211" spans="1:47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</row>
    <row r="212" spans="1:47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</row>
    <row r="213" spans="1:47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</row>
    <row r="214" spans="1:47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</row>
    <row r="215" spans="1:47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</row>
    <row r="216" spans="1:47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</row>
    <row r="217" spans="1:47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</row>
    <row r="218" spans="1:47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</row>
    <row r="219" spans="1:47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</row>
    <row r="220" spans="1:47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</row>
    <row r="221" spans="1:47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</row>
    <row r="222" spans="1:47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</row>
    <row r="223" spans="1:47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</row>
    <row r="224" spans="1:47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</row>
    <row r="225" spans="1:47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</row>
    <row r="226" spans="1:47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</row>
    <row r="227" spans="1:47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</row>
    <row r="228" spans="1:47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</row>
    <row r="229" spans="1:47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</row>
    <row r="230" spans="1:47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</row>
    <row r="231" spans="1:47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</row>
    <row r="232" spans="1:47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</row>
    <row r="233" spans="1:47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</row>
    <row r="234" spans="1:47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</row>
    <row r="235" spans="1:47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</row>
    <row r="236" spans="1:47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</row>
    <row r="237" spans="1:47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</row>
    <row r="238" spans="1:47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</row>
    <row r="239" spans="1:47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</row>
    <row r="240" spans="1:47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</row>
    <row r="241" spans="1:47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</row>
    <row r="242" spans="1:47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</row>
    <row r="243" spans="1:47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</row>
    <row r="244" spans="1:47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</row>
    <row r="245" spans="1:47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</row>
    <row r="246" spans="1:47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</row>
    <row r="247" spans="1:47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</row>
    <row r="248" spans="1:47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</row>
    <row r="249" spans="1:47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</row>
    <row r="250" spans="1:47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</row>
    <row r="251" spans="1:47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</row>
    <row r="252" spans="1:47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</row>
    <row r="253" spans="1:47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</row>
    <row r="254" spans="1:47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</row>
    <row r="255" spans="1:47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</row>
    <row r="256" spans="1:47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</row>
    <row r="257" spans="1:47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</row>
    <row r="258" spans="1:47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</row>
    <row r="259" spans="1:47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</row>
    <row r="260" spans="1:47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</row>
    <row r="261" spans="1:47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</row>
    <row r="262" spans="1:47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</row>
    <row r="263" spans="1:47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</row>
    <row r="264" spans="1:47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</row>
    <row r="265" spans="1:47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</row>
    <row r="266" spans="1:47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</row>
    <row r="267" spans="1:47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</row>
    <row r="268" spans="1:47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</row>
    <row r="269" spans="1:47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</row>
    <row r="270" spans="1:47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</row>
    <row r="271" spans="1:47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</row>
    <row r="272" spans="1:47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</row>
    <row r="273" spans="1:47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</row>
    <row r="274" spans="1:47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</row>
    <row r="275" spans="1:47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</row>
    <row r="276" spans="1:47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</row>
    <row r="277" spans="1:47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</row>
    <row r="278" spans="1:47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</row>
    <row r="279" spans="1:47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</row>
    <row r="280" spans="1:47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</row>
    <row r="281" spans="1:47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</row>
    <row r="282" spans="1:47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</row>
    <row r="283" spans="1:47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</row>
    <row r="284" spans="1:47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</row>
    <row r="285" spans="1:47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</row>
    <row r="286" spans="1:47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</row>
    <row r="287" spans="1:47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</row>
    <row r="288" spans="1:47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</row>
    <row r="289" spans="1:47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</row>
    <row r="290" spans="1:47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</row>
    <row r="291" spans="1:47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</row>
    <row r="292" spans="1:47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</row>
    <row r="293" spans="1:47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</row>
    <row r="294" spans="1:47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</row>
    <row r="295" spans="1:47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</row>
    <row r="296" spans="1:47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</row>
    <row r="297" spans="1:47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</row>
    <row r="298" spans="1:47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</row>
    <row r="299" spans="1:47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</row>
    <row r="300" spans="1:47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</row>
    <row r="301" spans="1:47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</row>
    <row r="302" spans="1:47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</row>
    <row r="303" spans="1:47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</row>
    <row r="304" spans="1:47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</row>
    <row r="305" spans="1:47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</row>
    <row r="306" spans="1:47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</row>
    <row r="307" spans="1:47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</row>
    <row r="308" spans="1:47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</row>
    <row r="309" spans="1:47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</row>
    <row r="310" spans="1:47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</row>
    <row r="311" spans="1:47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</row>
    <row r="312" spans="1:47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</row>
    <row r="313" spans="1:47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</row>
    <row r="314" spans="1:47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</row>
    <row r="315" spans="1:47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</row>
    <row r="316" spans="1:47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</row>
    <row r="317" spans="1:47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</row>
    <row r="318" spans="1:47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</row>
    <row r="319" spans="1:47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</row>
    <row r="320" spans="1:47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</row>
    <row r="321" spans="1:47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</row>
    <row r="322" spans="1:47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</row>
    <row r="323" spans="1:47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</row>
    <row r="324" spans="1:47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</row>
    <row r="325" spans="1:47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</row>
    <row r="326" spans="1:47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</row>
    <row r="327" spans="1:47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</row>
    <row r="328" spans="1:47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</row>
    <row r="329" spans="1:47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</row>
    <row r="330" spans="1:47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</row>
    <row r="331" spans="1:47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</row>
    <row r="332" spans="1:47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</row>
    <row r="333" spans="1:47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</row>
    <row r="334" spans="1:47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</row>
    <row r="335" spans="1:47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</row>
    <row r="336" spans="1:47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</row>
    <row r="337" spans="1:47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</row>
    <row r="338" spans="1:47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</row>
    <row r="339" spans="1:47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</row>
    <row r="340" spans="1:47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</row>
    <row r="341" spans="1:47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</row>
    <row r="342" spans="1:47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</row>
    <row r="343" spans="1:47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</row>
    <row r="344" spans="1:47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</row>
    <row r="345" spans="1:47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</row>
    <row r="346" spans="1:47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</row>
    <row r="347" spans="1:47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</row>
    <row r="348" spans="1:47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</row>
    <row r="349" spans="1:47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</row>
    <row r="350" spans="1:47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</row>
    <row r="351" spans="1:47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</row>
    <row r="352" spans="1:47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</row>
    <row r="353" spans="1:47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</row>
    <row r="354" spans="1:47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</row>
    <row r="355" spans="1:47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</row>
    <row r="356" spans="1:47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</row>
    <row r="357" spans="1:47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</row>
    <row r="358" spans="1:47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</row>
    <row r="359" spans="1:47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</row>
    <row r="360" spans="1:47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</row>
    <row r="361" spans="1:47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</row>
    <row r="362" spans="1:47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</row>
    <row r="363" spans="1:47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</row>
    <row r="364" spans="1:47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</row>
    <row r="365" spans="1:47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</row>
    <row r="366" spans="1:47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</row>
    <row r="367" spans="1:47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</row>
    <row r="368" spans="1:47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</row>
    <row r="369" spans="1:47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</row>
    <row r="370" spans="1:47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</row>
    <row r="371" spans="1:47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</row>
    <row r="372" spans="1:47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</row>
    <row r="373" spans="1:47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</row>
    <row r="374" spans="1:47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</row>
    <row r="375" spans="1:47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</row>
    <row r="376" spans="1:47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</row>
    <row r="377" spans="1:47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</row>
    <row r="378" spans="1:47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</row>
    <row r="379" spans="1:47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</row>
    <row r="380" spans="1:47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</row>
    <row r="381" spans="1:47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</row>
    <row r="382" spans="1:47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</row>
    <row r="383" spans="1:47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</row>
    <row r="384" spans="1:47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</row>
    <row r="385" spans="1:47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</row>
    <row r="386" spans="1:47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</row>
    <row r="387" spans="1:47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</row>
    <row r="388" spans="1:47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</row>
    <row r="389" spans="1:47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</row>
    <row r="390" spans="1:47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</row>
    <row r="391" spans="1:47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</row>
    <row r="392" spans="1:47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</row>
    <row r="393" spans="1:47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</row>
    <row r="394" spans="1:47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</row>
    <row r="395" spans="1:47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</row>
    <row r="396" spans="1:47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</row>
    <row r="397" spans="1:47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</row>
    <row r="398" spans="1:47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</row>
    <row r="399" spans="1:47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</row>
    <row r="400" spans="1:47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</row>
    <row r="401" spans="1:47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</row>
    <row r="402" spans="1:47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</row>
    <row r="403" spans="1:47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</row>
    <row r="404" spans="1:47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</row>
    <row r="405" spans="1:47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</row>
    <row r="406" spans="1:47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</row>
    <row r="407" spans="1:47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</row>
    <row r="408" spans="1:47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</row>
    <row r="409" spans="1:47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</row>
    <row r="410" spans="1:47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</row>
    <row r="411" spans="1:47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</row>
    <row r="412" spans="1:47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</row>
    <row r="413" spans="1:47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</row>
    <row r="414" spans="1:47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</row>
    <row r="415" spans="1:47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</row>
    <row r="416" spans="1:47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</row>
    <row r="417" spans="1:47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</row>
    <row r="418" spans="1:47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</row>
    <row r="419" spans="1:47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</row>
    <row r="420" spans="1:47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</row>
    <row r="421" spans="1:47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</row>
    <row r="422" spans="1:47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1:47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</row>
    <row r="424" spans="1:47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</row>
    <row r="425" spans="1:47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</row>
    <row r="426" spans="1:47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</row>
    <row r="427" spans="1:47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</row>
    <row r="428" spans="1:47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</row>
    <row r="429" spans="1:47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</row>
    <row r="430" spans="1:47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</row>
    <row r="431" spans="1:47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</row>
    <row r="432" spans="1:47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</row>
    <row r="433" spans="1:47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</row>
    <row r="434" spans="1:47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</row>
    <row r="435" spans="1:47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</row>
    <row r="436" spans="1:47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</row>
    <row r="437" spans="1:47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</row>
    <row r="438" spans="1:47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</row>
    <row r="439" spans="1:47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</row>
    <row r="440" spans="1:47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</row>
    <row r="441" spans="1:47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</row>
    <row r="442" spans="1:47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</row>
    <row r="443" spans="1:47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</row>
    <row r="444" spans="1:47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</row>
    <row r="445" spans="1:47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</row>
    <row r="446" spans="1:47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</row>
    <row r="447" spans="1:47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</row>
    <row r="448" spans="1:47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</row>
    <row r="449" spans="1:47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</row>
    <row r="450" spans="1:47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</row>
    <row r="451" spans="1:47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</row>
    <row r="452" spans="1:47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</row>
    <row r="453" spans="1:47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</row>
    <row r="454" spans="1:47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</row>
    <row r="455" spans="1:47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</row>
    <row r="456" spans="1:47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</row>
    <row r="457" spans="1:47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</row>
    <row r="458" spans="1:47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</row>
    <row r="459" spans="1:47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</row>
    <row r="460" spans="1:47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</row>
    <row r="461" spans="1:47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</row>
    <row r="462" spans="1:47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</row>
    <row r="463" spans="1:47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</row>
    <row r="464" spans="1:47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</row>
    <row r="465" spans="1:47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</row>
    <row r="466" spans="1:47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</row>
    <row r="467" spans="1:47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</row>
    <row r="468" spans="1:47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</row>
    <row r="469" spans="1:47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</row>
    <row r="470" spans="1:47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</row>
    <row r="471" spans="1:47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</row>
    <row r="472" spans="1:47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</row>
    <row r="473" spans="1:47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</row>
    <row r="474" spans="1:47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</row>
    <row r="475" spans="1:47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</row>
    <row r="476" spans="1:47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</row>
    <row r="477" spans="1:47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</row>
    <row r="478" spans="1:47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</row>
    <row r="479" spans="1:47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</row>
    <row r="480" spans="1:47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</row>
    <row r="481" spans="1:47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</row>
    <row r="482" spans="1:47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</row>
    <row r="483" spans="1:47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</row>
    <row r="484" spans="1:47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</row>
    <row r="485" spans="1:47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</row>
    <row r="486" spans="1:47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</row>
    <row r="487" spans="1:47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</row>
    <row r="488" spans="1:47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</row>
    <row r="489" spans="1:47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</row>
    <row r="490" spans="1:47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</row>
    <row r="491" spans="1:47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</row>
    <row r="492" spans="1:47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</row>
    <row r="493" spans="1:47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</row>
    <row r="494" spans="1:47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</row>
    <row r="495" spans="1:47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</row>
    <row r="496" spans="1:47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</row>
    <row r="497" spans="1:47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</row>
    <row r="498" spans="1:47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</row>
    <row r="499" spans="1:47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</row>
    <row r="500" spans="1:47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</row>
    <row r="501" spans="1:47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</row>
    <row r="502" spans="1:47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</row>
    <row r="503" spans="1:47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</row>
    <row r="504" spans="1:47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</row>
    <row r="505" spans="1:47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</row>
    <row r="506" spans="1:47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</row>
    <row r="507" spans="1:47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</row>
    <row r="508" spans="1:47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</row>
    <row r="509" spans="1:47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</row>
    <row r="510" spans="1:47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</row>
    <row r="511" spans="1:47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</row>
    <row r="512" spans="1:47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</row>
    <row r="513" spans="1:47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</row>
    <row r="514" spans="1:47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</row>
    <row r="515" spans="1:47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</row>
    <row r="516" spans="1:47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</row>
    <row r="517" spans="1:47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</row>
    <row r="518" spans="1:47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</row>
    <row r="519" spans="1:47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</row>
    <row r="520" spans="1:47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</row>
    <row r="521" spans="1:47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</row>
    <row r="522" spans="1:47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</row>
    <row r="523" spans="1:47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</row>
    <row r="524" spans="1:47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</row>
    <row r="525" spans="1:47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</row>
    <row r="526" spans="1:47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</row>
    <row r="527" spans="1:47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</row>
    <row r="528" spans="1:47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</row>
    <row r="529" spans="1:47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</row>
    <row r="530" spans="1:47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</row>
    <row r="531" spans="1:47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</row>
    <row r="532" spans="1:47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</row>
    <row r="533" spans="1:47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</row>
    <row r="534" spans="1:47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</row>
    <row r="535" spans="1:47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</row>
    <row r="536" spans="1:47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</row>
    <row r="537" spans="1:47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</row>
    <row r="538" spans="1:47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</row>
    <row r="539" spans="1:47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</row>
    <row r="540" spans="1:47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</row>
    <row r="541" spans="1:47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</row>
    <row r="542" spans="1:47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</row>
    <row r="543" spans="1:47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</row>
    <row r="544" spans="1:47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</row>
    <row r="545" spans="1:47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</row>
    <row r="546" spans="1:47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</row>
    <row r="547" spans="1:47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</row>
    <row r="548" spans="1:47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</row>
    <row r="549" spans="1:47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</row>
    <row r="550" spans="1:47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</row>
    <row r="551" spans="1:47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</row>
    <row r="552" spans="1:47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</row>
    <row r="553" spans="1:47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</row>
    <row r="554" spans="1:47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</row>
    <row r="555" spans="1:47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</row>
    <row r="556" spans="1:47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</row>
    <row r="557" spans="1:47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</row>
    <row r="558" spans="1:47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</row>
    <row r="559" spans="1:47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</row>
    <row r="560" spans="1:47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</row>
    <row r="561" spans="1:47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</row>
    <row r="562" spans="1:47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</row>
    <row r="563" spans="1:47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</row>
    <row r="564" spans="1:47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</row>
    <row r="565" spans="1:47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</row>
    <row r="566" spans="1:47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</row>
    <row r="567" spans="1:47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</row>
    <row r="568" spans="1:47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</row>
    <row r="569" spans="1:47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</row>
    <row r="570" spans="1:47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</row>
    <row r="571" spans="1:47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</row>
    <row r="572" spans="1:47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</row>
    <row r="573" spans="1:47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</row>
    <row r="574" spans="1:47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</row>
    <row r="575" spans="1:47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</row>
    <row r="576" spans="1:47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</row>
    <row r="577" spans="1:47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</row>
    <row r="578" spans="1:47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</row>
    <row r="579" spans="1:47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</row>
    <row r="580" spans="1:47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</row>
    <row r="581" spans="1:47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</row>
    <row r="582" spans="1:47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</row>
    <row r="583" spans="1:47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</row>
    <row r="584" spans="1:47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</row>
    <row r="585" spans="1:47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</row>
    <row r="586" spans="1:47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</row>
    <row r="587" spans="1:47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</row>
    <row r="588" spans="1:47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</row>
    <row r="589" spans="1:47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</row>
    <row r="590" spans="1:47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</row>
    <row r="591" spans="1:47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</row>
    <row r="592" spans="1:47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</row>
    <row r="593" spans="1:47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</row>
    <row r="594" spans="1:47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</row>
    <row r="595" spans="1:47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</row>
    <row r="596" spans="1:47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</row>
    <row r="597" spans="1:47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</row>
    <row r="598" spans="1:47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</row>
    <row r="599" spans="1:47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</row>
    <row r="600" spans="1:47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</row>
    <row r="601" spans="1:47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</row>
    <row r="602" spans="1:47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</row>
    <row r="603" spans="1:47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</row>
    <row r="604" spans="1:47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</row>
    <row r="605" spans="1:47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</row>
    <row r="606" spans="1:47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</row>
    <row r="607" spans="1:47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</row>
    <row r="608" spans="1:47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</row>
    <row r="609" spans="1:47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</row>
    <row r="610" spans="1:47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</row>
    <row r="611" spans="1:47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</row>
    <row r="612" spans="1:47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</row>
    <row r="613" spans="1:47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</row>
    <row r="614" spans="1:47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</row>
    <row r="615" spans="1:47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</row>
    <row r="616" spans="1:47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</row>
    <row r="617" spans="1:47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</row>
    <row r="618" spans="1:47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</row>
    <row r="619" spans="1:47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</row>
    <row r="620" spans="1:47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</row>
    <row r="621" spans="1:47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</row>
    <row r="622" spans="1:47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</row>
    <row r="623" spans="1:47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</row>
    <row r="624" spans="1:47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</row>
    <row r="625" spans="1:47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</row>
    <row r="626" spans="1:47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</row>
    <row r="627" spans="1:47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</row>
    <row r="628" spans="1:47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</row>
    <row r="629" spans="1:47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</row>
    <row r="630" spans="1:47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</row>
    <row r="631" spans="1:47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</row>
    <row r="632" spans="1:47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</row>
    <row r="633" spans="1:47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</row>
    <row r="634" spans="1:47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</row>
    <row r="635" spans="1:47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</row>
    <row r="636" spans="1:47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</row>
    <row r="637" spans="1:47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</row>
    <row r="638" spans="1:47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</row>
    <row r="639" spans="1:47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</row>
    <row r="640" spans="1:47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</row>
    <row r="641" spans="1:47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</row>
    <row r="642" spans="1:47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</row>
    <row r="643" spans="1:47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</row>
    <row r="644" spans="1:47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</row>
    <row r="645" spans="1:47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</row>
    <row r="646" spans="1:47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</row>
    <row r="647" spans="1:47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</row>
    <row r="648" spans="1:47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</row>
    <row r="649" spans="1:47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</row>
    <row r="650" spans="1:47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</row>
    <row r="651" spans="1:47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</row>
    <row r="652" spans="1:47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</row>
    <row r="653" spans="1:47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</row>
    <row r="654" spans="1:47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</row>
    <row r="655" spans="1:47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</row>
    <row r="656" spans="1:47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</row>
    <row r="657" spans="1:47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</row>
    <row r="658" spans="1:47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</row>
    <row r="659" spans="1:47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</row>
    <row r="660" spans="1:47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</row>
    <row r="661" spans="1:47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</row>
    <row r="662" spans="1:47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</row>
    <row r="663" spans="1:47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</row>
    <row r="664" spans="1:47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</row>
    <row r="665" spans="1:47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</row>
    <row r="666" spans="1:47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</row>
    <row r="667" spans="1:47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</row>
    <row r="668" spans="1:47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</row>
    <row r="669" spans="1:47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</row>
    <row r="670" spans="1:47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</row>
    <row r="671" spans="1:47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</row>
    <row r="672" spans="1:47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</row>
    <row r="673" spans="1:47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</row>
    <row r="674" spans="1:47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</row>
    <row r="675" spans="1:47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</row>
    <row r="676" spans="1:47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</row>
    <row r="677" spans="1:47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</row>
    <row r="678" spans="1:47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</row>
    <row r="679" spans="1:47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</row>
    <row r="680" spans="1:47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</row>
    <row r="681" spans="1:47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</row>
    <row r="682" spans="1:47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</row>
    <row r="683" spans="1:47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</row>
    <row r="684" spans="1:47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</row>
    <row r="685" spans="1:47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</row>
    <row r="686" spans="1:47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</row>
    <row r="687" spans="1:47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</row>
    <row r="688" spans="1:47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</row>
    <row r="689" spans="1:47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</row>
    <row r="690" spans="1:47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</row>
    <row r="691" spans="1:47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</row>
    <row r="692" spans="1:47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</row>
    <row r="693" spans="1:47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</row>
    <row r="694" spans="1:47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</row>
    <row r="695" spans="1:47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</row>
    <row r="696" spans="1:47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</row>
    <row r="697" spans="1:47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</row>
    <row r="698" spans="1:47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</row>
    <row r="699" spans="1:47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</row>
    <row r="700" spans="1:47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</row>
    <row r="701" spans="1:47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</row>
    <row r="702" spans="1:47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</row>
    <row r="703" spans="1:47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</row>
    <row r="704" spans="1:47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</row>
    <row r="705" spans="1:47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</row>
    <row r="706" spans="1:47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</row>
    <row r="707" spans="1:47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</row>
    <row r="708" spans="1:47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</row>
    <row r="709" spans="1:47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</row>
    <row r="710" spans="1:47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</row>
    <row r="711" spans="1:47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</row>
    <row r="712" spans="1:47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</row>
    <row r="713" spans="1:47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</row>
    <row r="714" spans="1:47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</row>
    <row r="715" spans="1:47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</row>
    <row r="716" spans="1:47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</row>
    <row r="717" spans="1:47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</row>
    <row r="718" spans="1:47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</row>
    <row r="719" spans="1:47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</row>
    <row r="720" spans="1:47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</row>
    <row r="721" spans="1:47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</row>
    <row r="722" spans="1:47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</row>
    <row r="723" spans="1:47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</row>
    <row r="724" spans="1:47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</row>
    <row r="725" spans="1:47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</row>
    <row r="726" spans="1:47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</row>
    <row r="727" spans="1:47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</row>
    <row r="728" spans="1:47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</row>
    <row r="729" spans="1:47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</row>
    <row r="730" spans="1:47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</row>
    <row r="731" spans="1:47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</row>
    <row r="732" spans="1:47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</row>
    <row r="733" spans="1:47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</row>
    <row r="734" spans="1:47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</row>
    <row r="735" spans="1:47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</row>
    <row r="736" spans="1:47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</row>
    <row r="737" spans="1:47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</row>
    <row r="738" spans="1:47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</row>
    <row r="739" spans="1:47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</row>
    <row r="740" spans="1:47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</row>
    <row r="741" spans="1:47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</row>
    <row r="742" spans="1:47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</row>
    <row r="743" spans="1:47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</row>
    <row r="744" spans="1:47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</row>
    <row r="745" spans="1:47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</row>
    <row r="746" spans="1:47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</row>
    <row r="747" spans="1:47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</row>
    <row r="748" spans="1:47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</row>
    <row r="749" spans="1:47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</row>
    <row r="750" spans="1:47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</row>
    <row r="751" spans="1:47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</row>
    <row r="752" spans="1:47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</row>
    <row r="753" spans="1:47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</row>
    <row r="754" spans="1:47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</row>
    <row r="755" spans="1:47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</row>
    <row r="756" spans="1:47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</row>
    <row r="757" spans="1:47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</row>
    <row r="758" spans="1:47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</row>
    <row r="759" spans="1:47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</row>
    <row r="760" spans="1:47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</row>
    <row r="761" spans="1:47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</row>
    <row r="762" spans="1:47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</row>
    <row r="763" spans="1:47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</row>
    <row r="764" spans="1:47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</row>
    <row r="765" spans="1:47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</row>
    <row r="766" spans="1:47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</row>
    <row r="767" spans="1:47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</row>
    <row r="768" spans="1:47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</row>
    <row r="769" spans="1:47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</row>
    <row r="770" spans="1:47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</row>
    <row r="771" spans="1:47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</row>
    <row r="772" spans="1:47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</row>
    <row r="773" spans="1:47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</row>
    <row r="774" spans="1:47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</row>
    <row r="775" spans="1:47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</row>
    <row r="776" spans="1:47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</row>
    <row r="777" spans="1:47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</row>
    <row r="778" spans="1:47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</row>
    <row r="779" spans="1:47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</row>
    <row r="780" spans="1:47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</row>
    <row r="781" spans="1:47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</row>
    <row r="782" spans="1:47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</row>
    <row r="783" spans="1:47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</row>
    <row r="784" spans="1:47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</row>
    <row r="785" spans="1:47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</row>
    <row r="786" spans="1:47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</row>
    <row r="787" spans="1:47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</row>
    <row r="788" spans="1:47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</row>
    <row r="789" spans="1:47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</row>
    <row r="790" spans="1:47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</row>
    <row r="791" spans="1:47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</row>
    <row r="792" spans="1:47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</row>
    <row r="793" spans="1:47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</row>
    <row r="794" spans="1:47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</row>
    <row r="795" spans="1:47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</row>
    <row r="796" spans="1:47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</row>
    <row r="797" spans="1:47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</row>
    <row r="798" spans="1:47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</row>
    <row r="799" spans="1:47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</row>
    <row r="800" spans="1:47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</row>
    <row r="801" spans="1:47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</row>
    <row r="802" spans="1:47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</row>
    <row r="803" spans="1:47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</row>
    <row r="804" spans="1:47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</row>
    <row r="805" spans="1:47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</row>
    <row r="806" spans="1:47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</row>
    <row r="807" spans="1:47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</row>
    <row r="808" spans="1:47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</row>
    <row r="809" spans="1:47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</row>
    <row r="810" spans="1:47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</row>
    <row r="811" spans="1:47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</row>
    <row r="812" spans="1:47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</row>
    <row r="813" spans="1:47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</row>
    <row r="814" spans="1:47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</row>
    <row r="815" spans="1:47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</row>
    <row r="816" spans="1:47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</row>
    <row r="817" spans="1:47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</row>
    <row r="818" spans="1:47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</row>
    <row r="819" spans="1:47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</row>
    <row r="820" spans="1:47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</row>
    <row r="821" spans="1:47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</row>
    <row r="822" spans="1:47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</row>
    <row r="823" spans="1:47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</row>
    <row r="824" spans="1:47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</row>
    <row r="825" spans="1:47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</row>
    <row r="826" spans="1:47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</row>
    <row r="827" spans="1:47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</row>
    <row r="828" spans="1:47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</row>
    <row r="829" spans="1:47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</row>
    <row r="830" spans="1:47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</row>
    <row r="831" spans="1:47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</row>
    <row r="832" spans="1:47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</row>
    <row r="833" spans="1:47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</row>
    <row r="834" spans="1:47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</row>
    <row r="835" spans="1:47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</row>
    <row r="836" spans="1:47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</row>
    <row r="837" spans="1:47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</row>
    <row r="838" spans="1:47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</row>
    <row r="839" spans="1:47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</row>
    <row r="840" spans="1:47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</row>
    <row r="841" spans="1:47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</row>
    <row r="842" spans="1:47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</row>
    <row r="843" spans="1:47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</row>
    <row r="844" spans="1:47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</row>
    <row r="845" spans="1:47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</row>
    <row r="846" spans="1:47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</row>
    <row r="847" spans="1:47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</row>
    <row r="848" spans="1:47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</row>
    <row r="849" spans="1:47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</row>
    <row r="850" spans="1:47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</row>
    <row r="851" spans="1:47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</row>
    <row r="852" spans="1:47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</row>
    <row r="853" spans="1:47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</row>
    <row r="854" spans="1:47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</row>
    <row r="855" spans="1:47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</row>
    <row r="856" spans="1:47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</row>
    <row r="857" spans="1:47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</row>
    <row r="858" spans="1:47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</row>
    <row r="859" spans="1:47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</row>
    <row r="860" spans="1:47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</row>
    <row r="861" spans="1:47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</row>
    <row r="862" spans="1:47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</row>
    <row r="863" spans="1:47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</row>
    <row r="864" spans="1:47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</row>
    <row r="865" spans="1:47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</row>
    <row r="866" spans="1:47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</row>
    <row r="867" spans="1:47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</row>
    <row r="868" spans="1:47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</row>
    <row r="869" spans="1:47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</row>
    <row r="870" spans="1:47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</row>
    <row r="871" spans="1:47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</row>
    <row r="872" spans="1:47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</row>
    <row r="873" spans="1:47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</row>
    <row r="874" spans="1:47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</row>
    <row r="875" spans="1:47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</row>
    <row r="876" spans="1:47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</row>
    <row r="877" spans="1:47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</row>
    <row r="878" spans="1:47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</row>
    <row r="879" spans="1:47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</row>
    <row r="880" spans="1:47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</row>
    <row r="881" spans="1:47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</row>
    <row r="882" spans="1:47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</row>
    <row r="883" spans="1:47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</row>
    <row r="884" spans="1:47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</row>
    <row r="885" spans="1:47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</row>
    <row r="886" spans="1:47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</row>
    <row r="887" spans="1:47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</row>
    <row r="888" spans="1:47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</row>
    <row r="889" spans="1:47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</row>
    <row r="890" spans="1:47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</row>
    <row r="891" spans="1:47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</row>
    <row r="892" spans="1:47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</row>
    <row r="893" spans="1:47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</row>
    <row r="894" spans="1:47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</row>
    <row r="895" spans="1:47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</row>
    <row r="896" spans="1:47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</row>
    <row r="897" spans="1:47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</row>
    <row r="898" spans="1:47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</row>
    <row r="899" spans="1:47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</row>
    <row r="900" spans="1:47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</row>
    <row r="901" spans="1:47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</row>
    <row r="902" spans="1:47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</row>
    <row r="903" spans="1:47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</row>
    <row r="904" spans="1:47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</row>
    <row r="905" spans="1:47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</row>
    <row r="906" spans="1:47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</row>
    <row r="907" spans="1:47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</row>
    <row r="908" spans="1:47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</row>
    <row r="909" spans="1:47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</row>
    <row r="910" spans="1:47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</row>
    <row r="911" spans="1:47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</row>
    <row r="912" spans="1:47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</row>
    <row r="913" spans="1:47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</row>
    <row r="914" spans="1:47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</row>
    <row r="915" spans="1:47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</row>
    <row r="916" spans="1:47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</row>
    <row r="917" spans="1:47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</row>
    <row r="918" spans="1:47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</row>
    <row r="919" spans="1:47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</row>
    <row r="920" spans="1:47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</row>
    <row r="921" spans="1:47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</row>
    <row r="922" spans="1:47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</row>
    <row r="923" spans="1:47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</row>
    <row r="924" spans="1:47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</row>
    <row r="925" spans="1:47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</row>
    <row r="926" spans="1:47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</row>
    <row r="927" spans="1:47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</row>
    <row r="928" spans="1:47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</row>
    <row r="929" spans="1:47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</row>
    <row r="930" spans="1:47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</row>
    <row r="931" spans="1:47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</row>
    <row r="932" spans="1:47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</row>
    <row r="933" spans="1:47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</row>
    <row r="934" spans="1:47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</row>
    <row r="935" spans="1:47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</row>
    <row r="936" spans="1:47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</row>
    <row r="937" spans="1:47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</row>
    <row r="938" spans="1:47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</row>
    <row r="939" spans="1:47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</row>
    <row r="940" spans="1:47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</row>
    <row r="941" spans="1:47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</row>
    <row r="942" spans="1:47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</row>
    <row r="943" spans="1:47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</row>
    <row r="944" spans="1:47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</row>
    <row r="945" spans="1:47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</row>
    <row r="946" spans="1:47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</row>
    <row r="947" spans="1:47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</row>
    <row r="948" spans="1:47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</row>
    <row r="949" spans="1:47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</row>
    <row r="950" spans="1:47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</row>
    <row r="951" spans="1:47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109"/>
      <c r="AS951" s="109"/>
      <c r="AT951" s="109"/>
      <c r="AU951" s="109"/>
    </row>
    <row r="952" spans="1:47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</row>
    <row r="953" spans="1:47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</row>
    <row r="954" spans="1:47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</row>
    <row r="955" spans="1:47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</row>
    <row r="956" spans="1:47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</row>
    <row r="957" spans="1:47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</row>
    <row r="958" spans="1:47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</row>
    <row r="959" spans="1:47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</row>
    <row r="960" spans="1:47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</row>
    <row r="961" spans="1:47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</row>
    <row r="962" spans="1:47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</row>
    <row r="963" spans="1:47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</row>
    <row r="964" spans="1:47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</row>
    <row r="965" spans="1:47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</row>
    <row r="966" spans="1:47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</row>
    <row r="967" spans="1:47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</row>
    <row r="968" spans="1:47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</row>
    <row r="969" spans="1:47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109"/>
      <c r="AS969" s="109"/>
      <c r="AT969" s="109"/>
      <c r="AU969" s="109"/>
    </row>
    <row r="970" spans="1:47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</row>
    <row r="971" spans="1:47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</row>
    <row r="972" spans="1:47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</row>
    <row r="973" spans="1:47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</row>
    <row r="974" spans="1:47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</row>
    <row r="975" spans="1:47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109"/>
      <c r="AS975" s="109"/>
      <c r="AT975" s="109"/>
      <c r="AU975" s="109"/>
    </row>
    <row r="976" spans="1:47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</row>
    <row r="977" spans="1:47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</row>
    <row r="978" spans="1:47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</row>
    <row r="979" spans="1:47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</row>
    <row r="980" spans="1:47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</row>
    <row r="981" spans="1:47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</row>
    <row r="982" spans="1:47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</row>
    <row r="983" spans="1:47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</row>
    <row r="984" spans="1:47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</row>
    <row r="985" spans="1:47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</row>
    <row r="986" spans="1:47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</row>
    <row r="987" spans="1:47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</row>
    <row r="988" spans="1:47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</row>
    <row r="989" spans="1:47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</row>
    <row r="990" spans="1:47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</row>
  </sheetData>
  <mergeCells count="49">
    <mergeCell ref="AR2:AR3"/>
    <mergeCell ref="Y2:Y3"/>
    <mergeCell ref="AI2:AI3"/>
    <mergeCell ref="AJ2:AJ3"/>
    <mergeCell ref="AK2:AK3"/>
    <mergeCell ref="AL2:AL3"/>
    <mergeCell ref="AM2:AM3"/>
    <mergeCell ref="AP2:AP3"/>
    <mergeCell ref="AU1:AU3"/>
    <mergeCell ref="AT2:AT3"/>
    <mergeCell ref="Z2:Z3"/>
    <mergeCell ref="AA2:AA3"/>
    <mergeCell ref="V1:AR1"/>
    <mergeCell ref="AS2:AS3"/>
    <mergeCell ref="AB2:AB3"/>
    <mergeCell ref="AC2:AC3"/>
    <mergeCell ref="AD2:AD3"/>
    <mergeCell ref="AE2:AE3"/>
    <mergeCell ref="AF2:AF3"/>
    <mergeCell ref="AG2:AG3"/>
    <mergeCell ref="AH2:AH3"/>
    <mergeCell ref="AN2:AN3"/>
    <mergeCell ref="AO2:AO3"/>
    <mergeCell ref="AQ2:AQ3"/>
    <mergeCell ref="T2:T3"/>
    <mergeCell ref="X2:X3"/>
    <mergeCell ref="Q2:Q3"/>
    <mergeCell ref="M2:M3"/>
    <mergeCell ref="N2:N3"/>
    <mergeCell ref="O2:O3"/>
    <mergeCell ref="P2:P3"/>
    <mergeCell ref="U2:U3"/>
    <mergeCell ref="V2:V3"/>
    <mergeCell ref="W2:W3"/>
    <mergeCell ref="J2:J3"/>
    <mergeCell ref="K2:K3"/>
    <mergeCell ref="C1:S1"/>
    <mergeCell ref="L2:L3"/>
    <mergeCell ref="F2:F3"/>
    <mergeCell ref="G2:G3"/>
    <mergeCell ref="H2:H3"/>
    <mergeCell ref="R2:S2"/>
    <mergeCell ref="G30:I30"/>
    <mergeCell ref="A1:A3"/>
    <mergeCell ref="B1:B3"/>
    <mergeCell ref="E2:E3"/>
    <mergeCell ref="C2:C3"/>
    <mergeCell ref="D2:D3"/>
    <mergeCell ref="I2:I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A86E8"/>
  </sheetPr>
  <dimension ref="A1:AU990"/>
  <sheetViews>
    <sheetView topLeftCell="A16" workbookViewId="0">
      <selection activeCell="C31" sqref="C31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3" width="10.83203125" customWidth="1"/>
    <col min="4" max="4" width="11.25" customWidth="1"/>
    <col min="5" max="5" width="8.58203125" customWidth="1"/>
    <col min="6" max="6" width="9.58203125" customWidth="1"/>
    <col min="7" max="7" width="14.5" customWidth="1"/>
    <col min="8" max="8" width="12.83203125" customWidth="1"/>
    <col min="9" max="9" width="9.75" customWidth="1"/>
    <col min="10" max="10" width="7.58203125" customWidth="1"/>
    <col min="11" max="11" width="10.08203125" customWidth="1"/>
    <col min="12" max="12" width="14" customWidth="1"/>
    <col min="13" max="13" width="7.58203125" customWidth="1"/>
    <col min="14" max="14" width="12.08203125" customWidth="1"/>
    <col min="15" max="15" width="7.58203125" customWidth="1"/>
    <col min="16" max="16" width="10.33203125" customWidth="1"/>
    <col min="17" max="17" width="12.58203125" customWidth="1"/>
    <col min="18" max="18" width="10.83203125" customWidth="1"/>
    <col min="19" max="19" width="7.58203125" customWidth="1"/>
    <col min="20" max="20" width="9.08203125" customWidth="1"/>
    <col min="21" max="21" width="13.58203125" customWidth="1"/>
    <col min="22" max="22" width="12.5" customWidth="1"/>
    <col min="23" max="23" width="11.08203125" customWidth="1"/>
    <col min="24" max="24" width="10.83203125" customWidth="1"/>
    <col min="25" max="25" width="10.75" customWidth="1"/>
    <col min="26" max="26" width="12.08203125" customWidth="1"/>
    <col min="27" max="27" width="13.5" customWidth="1"/>
    <col min="28" max="28" width="9.08203125" customWidth="1"/>
    <col min="29" max="29" width="7.58203125" customWidth="1"/>
    <col min="30" max="30" width="9.5" customWidth="1"/>
    <col min="31" max="31" width="12.33203125" customWidth="1"/>
    <col min="32" max="32" width="18.75" customWidth="1"/>
    <col min="33" max="33" width="10.33203125" customWidth="1"/>
    <col min="34" max="34" width="7.58203125" customWidth="1"/>
    <col min="35" max="35" width="8.83203125" customWidth="1"/>
    <col min="36" max="36" width="13.25" customWidth="1"/>
    <col min="37" max="37" width="10.75" customWidth="1"/>
    <col min="38" max="38" width="11.75" customWidth="1"/>
    <col min="39" max="39" width="7.58203125" customWidth="1"/>
    <col min="40" max="40" width="10.33203125" customWidth="1"/>
    <col min="41" max="41" width="12.25" customWidth="1"/>
    <col min="42" max="42" width="21.33203125" customWidth="1"/>
    <col min="43" max="43" width="9.75" customWidth="1"/>
    <col min="44" max="44" width="7.58203125" customWidth="1"/>
    <col min="45" max="45" width="9.75" customWidth="1"/>
    <col min="46" max="46" width="12.83203125" customWidth="1"/>
    <col min="47" max="47" width="16.58203125" customWidth="1"/>
  </cols>
  <sheetData>
    <row r="1" spans="1:47" ht="14.25" customHeight="1" x14ac:dyDescent="0.3">
      <c r="A1" s="395" t="s">
        <v>0</v>
      </c>
      <c r="B1" s="396" t="s">
        <v>104</v>
      </c>
      <c r="C1" s="398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  <c r="T1" s="122"/>
      <c r="U1" s="122"/>
      <c r="V1" s="402" t="s">
        <v>4</v>
      </c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123"/>
      <c r="AT1" s="123"/>
      <c r="AU1" s="401" t="s">
        <v>5</v>
      </c>
    </row>
    <row r="2" spans="1:47" ht="14.25" customHeight="1" x14ac:dyDescent="0.3">
      <c r="A2" s="389"/>
      <c r="B2" s="353"/>
      <c r="C2" s="397" t="s">
        <v>6</v>
      </c>
      <c r="D2" s="397" t="s">
        <v>7</v>
      </c>
      <c r="E2" s="397" t="s">
        <v>8</v>
      </c>
      <c r="F2" s="397" t="s">
        <v>85</v>
      </c>
      <c r="G2" s="397" t="s">
        <v>86</v>
      </c>
      <c r="H2" s="397" t="s">
        <v>9</v>
      </c>
      <c r="I2" s="397" t="s">
        <v>7</v>
      </c>
      <c r="J2" s="397" t="s">
        <v>8</v>
      </c>
      <c r="K2" s="397" t="s">
        <v>85</v>
      </c>
      <c r="L2" s="397" t="s">
        <v>86</v>
      </c>
      <c r="M2" s="397" t="s">
        <v>105</v>
      </c>
      <c r="N2" s="397" t="s">
        <v>7</v>
      </c>
      <c r="O2" s="397" t="s">
        <v>8</v>
      </c>
      <c r="P2" s="397" t="s">
        <v>85</v>
      </c>
      <c r="Q2" s="397" t="s">
        <v>86</v>
      </c>
      <c r="R2" s="399" t="s">
        <v>11</v>
      </c>
      <c r="S2" s="372"/>
      <c r="T2" s="397" t="s">
        <v>85</v>
      </c>
      <c r="U2" s="397" t="s">
        <v>86</v>
      </c>
      <c r="V2" s="400" t="s">
        <v>12</v>
      </c>
      <c r="W2" s="400" t="s">
        <v>7</v>
      </c>
      <c r="X2" s="400" t="s">
        <v>8</v>
      </c>
      <c r="Y2" s="400" t="s">
        <v>85</v>
      </c>
      <c r="Z2" s="400" t="s">
        <v>131</v>
      </c>
      <c r="AA2" s="400" t="s">
        <v>13</v>
      </c>
      <c r="AB2" s="400" t="s">
        <v>7</v>
      </c>
      <c r="AC2" s="400" t="s">
        <v>8</v>
      </c>
      <c r="AD2" s="400" t="s">
        <v>85</v>
      </c>
      <c r="AE2" s="400" t="s">
        <v>131</v>
      </c>
      <c r="AF2" s="400" t="s">
        <v>14</v>
      </c>
      <c r="AG2" s="400" t="s">
        <v>7</v>
      </c>
      <c r="AH2" s="400" t="s">
        <v>8</v>
      </c>
      <c r="AI2" s="400" t="s">
        <v>85</v>
      </c>
      <c r="AJ2" s="400" t="s">
        <v>131</v>
      </c>
      <c r="AK2" s="400" t="s">
        <v>15</v>
      </c>
      <c r="AL2" s="400" t="s">
        <v>7</v>
      </c>
      <c r="AM2" s="400" t="s">
        <v>8</v>
      </c>
      <c r="AN2" s="400" t="s">
        <v>85</v>
      </c>
      <c r="AO2" s="400" t="s">
        <v>131</v>
      </c>
      <c r="AP2" s="400" t="s">
        <v>16</v>
      </c>
      <c r="AQ2" s="400" t="s">
        <v>7</v>
      </c>
      <c r="AR2" s="400" t="s">
        <v>8</v>
      </c>
      <c r="AS2" s="400" t="s">
        <v>85</v>
      </c>
      <c r="AT2" s="400" t="s">
        <v>131</v>
      </c>
      <c r="AU2" s="353"/>
    </row>
    <row r="3" spans="1:47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124" t="s">
        <v>17</v>
      </c>
      <c r="S3" s="124" t="s">
        <v>8</v>
      </c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</row>
    <row r="4" spans="1:47" ht="14.25" customHeight="1" x14ac:dyDescent="0.3">
      <c r="A4" s="76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97"/>
      <c r="L4" s="97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97"/>
      <c r="AE4" s="97"/>
      <c r="AF4" s="78"/>
      <c r="AG4" s="78"/>
      <c r="AH4" s="78"/>
      <c r="AI4" s="78"/>
      <c r="AJ4" s="78"/>
      <c r="AK4" s="78"/>
      <c r="AL4" s="78"/>
      <c r="AM4" s="78"/>
      <c r="AN4" s="97"/>
      <c r="AO4" s="97"/>
      <c r="AP4" s="78"/>
      <c r="AQ4" s="78"/>
      <c r="AR4" s="78"/>
      <c r="AS4" s="97"/>
      <c r="AT4" s="97"/>
      <c r="AU4" s="79"/>
    </row>
    <row r="5" spans="1:47" ht="14.25" customHeight="1" x14ac:dyDescent="0.3">
      <c r="A5" s="79"/>
      <c r="B5" s="79" t="s">
        <v>106</v>
      </c>
      <c r="C5" s="80" t="s">
        <v>107</v>
      </c>
      <c r="D5" s="111">
        <f>'UT Unit Fungsi'!D5</f>
        <v>1.095049968418018E-4</v>
      </c>
      <c r="E5" s="188" t="s">
        <v>199</v>
      </c>
      <c r="F5" s="111">
        <f>CF!F4</f>
        <v>9.0400000000000002E-9</v>
      </c>
      <c r="G5" s="111">
        <f t="shared" ref="G5:G7" si="0">D5*F5</f>
        <v>9.8992517144988828E-13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14.25" customHeight="1" x14ac:dyDescent="0.3">
      <c r="A6" s="79"/>
      <c r="B6" s="79" t="s">
        <v>108</v>
      </c>
      <c r="C6" s="80" t="s">
        <v>109</v>
      </c>
      <c r="D6" s="111">
        <f>'UT Unit Fungsi'!D6</f>
        <v>1.9087843472699963E-2</v>
      </c>
      <c r="E6" s="188" t="s">
        <v>209</v>
      </c>
      <c r="F6" s="125">
        <v>0</v>
      </c>
      <c r="G6" s="111">
        <f t="shared" si="0"/>
        <v>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80" t="s">
        <v>111</v>
      </c>
      <c r="AB6" s="111">
        <f>Utilitas!R6/Utilitas!C30</f>
        <v>1.9087843472699963E-2</v>
      </c>
      <c r="AC6" s="188" t="s">
        <v>209</v>
      </c>
      <c r="AD6" s="125">
        <v>0</v>
      </c>
      <c r="AE6" s="111">
        <f>AB6*AD6</f>
        <v>0</v>
      </c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80" t="s">
        <v>112</v>
      </c>
      <c r="AQ6" s="111">
        <f>Utilitas!AA6/Utilitas!C30</f>
        <v>3.8175686945399931E-7</v>
      </c>
      <c r="AR6" s="188" t="s">
        <v>203</v>
      </c>
      <c r="AS6" s="118">
        <f>CF!F24</f>
        <v>1.39E-9</v>
      </c>
      <c r="AT6" s="111">
        <f>AQ6*AS6</f>
        <v>5.3064204854105905E-16</v>
      </c>
      <c r="AU6" s="79"/>
    </row>
    <row r="7" spans="1:47" ht="14.25" customHeight="1" x14ac:dyDescent="0.3">
      <c r="A7" s="79"/>
      <c r="B7" s="79"/>
      <c r="C7" s="80" t="s">
        <v>113</v>
      </c>
      <c r="D7" s="111">
        <f>'UT Unit Fungsi'!D7</f>
        <v>3.8175686945399923E-5</v>
      </c>
      <c r="E7" s="188" t="s">
        <v>202</v>
      </c>
      <c r="F7" s="125">
        <v>0</v>
      </c>
      <c r="G7" s="111">
        <f t="shared" si="0"/>
        <v>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12"/>
      <c r="AR7" s="78"/>
      <c r="AS7" s="78"/>
      <c r="AT7" s="78"/>
      <c r="AU7" s="79"/>
    </row>
    <row r="8" spans="1:47" ht="14.25" customHeight="1" x14ac:dyDescent="0.3">
      <c r="A8" s="79"/>
      <c r="B8" s="79" t="s">
        <v>114</v>
      </c>
      <c r="C8" s="78"/>
      <c r="D8" s="85"/>
      <c r="E8" s="85"/>
      <c r="F8" s="85"/>
      <c r="G8" s="85"/>
      <c r="H8" s="80" t="s">
        <v>22</v>
      </c>
      <c r="I8" s="111">
        <f>'UT Unit Fungsi'!G8</f>
        <v>6.6825250072615507E-3</v>
      </c>
      <c r="J8" s="188" t="s">
        <v>203</v>
      </c>
      <c r="K8" s="111">
        <f>CF!F7</f>
        <v>6.4499999999999997E-7</v>
      </c>
      <c r="L8" s="111">
        <f>I8*K8</f>
        <v>4.3102286296837E-9</v>
      </c>
      <c r="M8" s="78"/>
      <c r="N8" s="78"/>
      <c r="O8" s="78"/>
      <c r="P8" s="78"/>
      <c r="Q8" s="78"/>
      <c r="R8" s="78"/>
      <c r="S8" s="78"/>
      <c r="T8" s="78"/>
      <c r="U8" s="78"/>
      <c r="V8" s="87" t="s">
        <v>24</v>
      </c>
      <c r="W8" s="111">
        <f>Utilitas!O8/Utilitas!C30</f>
        <v>3.4084522550674235E-8</v>
      </c>
      <c r="X8" s="20" t="s">
        <v>205</v>
      </c>
      <c r="Y8" s="126">
        <f>CF!F21</f>
        <v>1.55E-8</v>
      </c>
      <c r="Z8" s="126">
        <f t="shared" ref="Z8:Z10" si="1">W8*Y8</f>
        <v>5.2831009953545064E-16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12"/>
      <c r="AR8" s="78"/>
      <c r="AS8" s="78"/>
      <c r="AT8" s="78"/>
      <c r="AU8" s="79"/>
    </row>
    <row r="9" spans="1:47" ht="14.25" customHeight="1" x14ac:dyDescent="0.3">
      <c r="A9" s="76"/>
      <c r="B9" s="79"/>
      <c r="C9" s="78"/>
      <c r="D9" s="85"/>
      <c r="E9" s="85"/>
      <c r="F9" s="85"/>
      <c r="G9" s="85"/>
      <c r="H9" s="78"/>
      <c r="I9" s="85"/>
      <c r="J9" s="85"/>
      <c r="K9" s="85"/>
      <c r="L9" s="85"/>
      <c r="M9" s="78"/>
      <c r="N9" s="89"/>
      <c r="O9" s="78"/>
      <c r="P9" s="78"/>
      <c r="Q9" s="78"/>
      <c r="R9" s="78"/>
      <c r="S9" s="78"/>
      <c r="T9" s="78"/>
      <c r="U9" s="78"/>
      <c r="V9" s="87" t="s">
        <v>29</v>
      </c>
      <c r="W9" s="111">
        <f>Utilitas!O9/Utilitas!C30</f>
        <v>5.1831000461322046E-7</v>
      </c>
      <c r="X9" s="18" t="s">
        <v>206</v>
      </c>
      <c r="Y9" s="127">
        <f>CF!F22</f>
        <v>5.1399999999999997E-8</v>
      </c>
      <c r="Z9" s="127">
        <f t="shared" si="1"/>
        <v>2.664113423711953E-14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0"/>
      <c r="AO9" s="90"/>
      <c r="AP9" s="90"/>
      <c r="AQ9" s="112"/>
      <c r="AR9" s="92"/>
      <c r="AS9" s="92"/>
      <c r="AT9" s="92"/>
      <c r="AU9" s="79"/>
    </row>
    <row r="10" spans="1:47" ht="14.25" customHeight="1" x14ac:dyDescent="0.3">
      <c r="A10" s="76"/>
      <c r="B10" s="79"/>
      <c r="C10" s="78"/>
      <c r="D10" s="85"/>
      <c r="E10" s="85"/>
      <c r="F10" s="85"/>
      <c r="G10" s="85"/>
      <c r="H10" s="78"/>
      <c r="I10" s="85"/>
      <c r="J10" s="85"/>
      <c r="K10" s="85"/>
      <c r="L10" s="85"/>
      <c r="M10" s="78"/>
      <c r="N10" s="89"/>
      <c r="O10" s="78"/>
      <c r="P10" s="78"/>
      <c r="Q10" s="78"/>
      <c r="R10" s="78"/>
      <c r="S10" s="78"/>
      <c r="T10" s="78"/>
      <c r="U10" s="78"/>
      <c r="V10" s="87" t="s">
        <v>31</v>
      </c>
      <c r="W10" s="111">
        <f>Utilitas!O10/Utilitas!C30</f>
        <v>2.0257163306103306E-5</v>
      </c>
      <c r="X10" s="18" t="s">
        <v>207</v>
      </c>
      <c r="Y10" s="127">
        <f>CF!F23</f>
        <v>2.2700000000000001E-8</v>
      </c>
      <c r="Z10" s="127">
        <f t="shared" si="1"/>
        <v>4.5983760704854506E-13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0"/>
      <c r="AO10" s="90"/>
      <c r="AP10" s="90"/>
      <c r="AQ10" s="112"/>
      <c r="AR10" s="92"/>
      <c r="AS10" s="92"/>
      <c r="AT10" s="92"/>
      <c r="AU10" s="79"/>
    </row>
    <row r="11" spans="1:47" ht="14.25" customHeight="1" x14ac:dyDescent="0.3">
      <c r="A11" s="76"/>
      <c r="B11" s="79"/>
      <c r="C11" s="78"/>
      <c r="D11" s="85"/>
      <c r="E11" s="85"/>
      <c r="F11" s="85"/>
      <c r="G11" s="85"/>
      <c r="H11" s="78"/>
      <c r="I11" s="85"/>
      <c r="J11" s="85"/>
      <c r="K11" s="85"/>
      <c r="L11" s="85"/>
      <c r="M11" s="78"/>
      <c r="N11" s="89"/>
      <c r="O11" s="78"/>
      <c r="P11" s="78"/>
      <c r="Q11" s="78"/>
      <c r="R11" s="78"/>
      <c r="S11" s="78"/>
      <c r="T11" s="78"/>
      <c r="U11" s="78"/>
      <c r="V11" s="78"/>
      <c r="W11" s="113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0"/>
      <c r="AO11" s="90"/>
      <c r="AP11" s="90"/>
      <c r="AQ11" s="112"/>
      <c r="AR11" s="92"/>
      <c r="AS11" s="92"/>
      <c r="AT11" s="92"/>
      <c r="AU11" s="79"/>
    </row>
    <row r="12" spans="1:47" ht="14.25" customHeight="1" x14ac:dyDescent="0.3">
      <c r="A12" s="76"/>
      <c r="B12" s="79"/>
      <c r="C12" s="78"/>
      <c r="D12" s="85"/>
      <c r="E12" s="85"/>
      <c r="F12" s="85"/>
      <c r="G12" s="85"/>
      <c r="H12" s="78"/>
      <c r="I12" s="85"/>
      <c r="J12" s="85"/>
      <c r="K12" s="85"/>
      <c r="L12" s="85"/>
      <c r="M12" s="78"/>
      <c r="N12" s="89"/>
      <c r="O12" s="78"/>
      <c r="P12" s="78"/>
      <c r="Q12" s="78"/>
      <c r="R12" s="78"/>
      <c r="S12" s="78"/>
      <c r="T12" s="78"/>
      <c r="U12" s="78"/>
      <c r="V12" s="78"/>
      <c r="W12" s="113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90"/>
      <c r="AO12" s="90"/>
      <c r="AP12" s="90"/>
      <c r="AQ12" s="112"/>
      <c r="AR12" s="92"/>
      <c r="AS12" s="92"/>
      <c r="AT12" s="92"/>
      <c r="AU12" s="79"/>
    </row>
    <row r="13" spans="1:47" ht="14.25" customHeight="1" x14ac:dyDescent="0.3">
      <c r="A13" s="76">
        <v>2</v>
      </c>
      <c r="B13" s="77" t="s">
        <v>101</v>
      </c>
      <c r="C13" s="78"/>
      <c r="D13" s="85"/>
      <c r="E13" s="85"/>
      <c r="F13" s="85"/>
      <c r="G13" s="85"/>
      <c r="H13" s="80" t="s">
        <v>22</v>
      </c>
      <c r="I13" s="111">
        <f>'UT Unit Fungsi'!G13</f>
        <v>1.3651443943405738E-2</v>
      </c>
      <c r="J13" s="188" t="s">
        <v>203</v>
      </c>
      <c r="K13" s="111">
        <f>K8</f>
        <v>6.4499999999999997E-7</v>
      </c>
      <c r="L13" s="111">
        <f>I13*K13</f>
        <v>8.8051813434967002E-9</v>
      </c>
      <c r="M13" s="80" t="s">
        <v>115</v>
      </c>
      <c r="N13" s="81">
        <f>Utilitas!J13/Utilitas!C30</f>
        <v>5.3429011325306891E-2</v>
      </c>
      <c r="O13" s="188" t="s">
        <v>203</v>
      </c>
      <c r="P13" s="125">
        <v>0</v>
      </c>
      <c r="Q13" s="86">
        <f t="shared" ref="Q13:Q14" si="2">N13*P13</f>
        <v>0</v>
      </c>
      <c r="R13" s="78"/>
      <c r="S13" s="78"/>
      <c r="T13" s="78"/>
      <c r="U13" s="78"/>
      <c r="V13" s="87" t="s">
        <v>24</v>
      </c>
      <c r="W13" s="111">
        <f>Utilitas!O13/Utilitas!C30</f>
        <v>6.962981035352022E-8</v>
      </c>
      <c r="X13" s="20" t="s">
        <v>205</v>
      </c>
      <c r="Y13" s="126">
        <f t="shared" ref="Y13:Y15" si="3">Y8</f>
        <v>1.55E-8</v>
      </c>
      <c r="Z13" s="126">
        <f t="shared" ref="Z13:Z15" si="4">W13*Y13</f>
        <v>1.0792620604795635E-15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80" t="s">
        <v>116</v>
      </c>
      <c r="AL13" s="94">
        <f>Utilitas!X13/Utilitas!C30</f>
        <v>3.6329210656642426E-3</v>
      </c>
      <c r="AM13" s="188" t="s">
        <v>200</v>
      </c>
      <c r="AN13" s="128">
        <f>CF!F12</f>
        <v>3.3899999999999999E-8</v>
      </c>
      <c r="AO13" s="128">
        <f t="shared" ref="AO13:AO16" si="5">AL13*AN13</f>
        <v>1.2315602412601781E-10</v>
      </c>
      <c r="AP13" s="95" t="s">
        <v>117</v>
      </c>
      <c r="AQ13" s="111">
        <f>Utilitas!AA13/Utilitas!C30</f>
        <v>1.0685802265061379E-7</v>
      </c>
      <c r="AR13" s="188" t="s">
        <v>203</v>
      </c>
      <c r="AS13" s="129">
        <f>CF!F26</f>
        <v>6.2300000000000002E-9</v>
      </c>
      <c r="AT13" s="130">
        <f t="shared" ref="AT13:AT14" si="6">AQ13*AS13</f>
        <v>6.6572548111332393E-16</v>
      </c>
      <c r="AU13" s="79"/>
    </row>
    <row r="14" spans="1:47" ht="14.25" customHeight="1" x14ac:dyDescent="0.3">
      <c r="A14" s="79"/>
      <c r="B14" s="79"/>
      <c r="C14" s="78"/>
      <c r="D14" s="85"/>
      <c r="E14" s="85"/>
      <c r="F14" s="85"/>
      <c r="G14" s="85"/>
      <c r="H14" s="78"/>
      <c r="I14" s="85"/>
      <c r="J14" s="85"/>
      <c r="K14" s="85"/>
      <c r="L14" s="85"/>
      <c r="M14" s="80" t="s">
        <v>118</v>
      </c>
      <c r="N14" s="81">
        <f>Utilitas!J14/Utilitas!C30</f>
        <v>1.9642121495572963E-2</v>
      </c>
      <c r="O14" s="188" t="s">
        <v>203</v>
      </c>
      <c r="P14" s="118">
        <f>CF!F32</f>
        <v>4.6800000000000002E-8</v>
      </c>
      <c r="Q14" s="111">
        <f t="shared" si="2"/>
        <v>9.1925128599281468E-10</v>
      </c>
      <c r="R14" s="78"/>
      <c r="S14" s="78"/>
      <c r="T14" s="78"/>
      <c r="U14" s="78"/>
      <c r="V14" s="87" t="s">
        <v>29</v>
      </c>
      <c r="W14" s="111">
        <f>Utilitas!O14/Utilitas!C30</f>
        <v>1.058833295138436E-6</v>
      </c>
      <c r="X14" s="18" t="s">
        <v>206</v>
      </c>
      <c r="Y14" s="127">
        <f t="shared" si="3"/>
        <v>5.1399999999999997E-8</v>
      </c>
      <c r="Z14" s="127">
        <f t="shared" si="4"/>
        <v>5.4424031370115604E-14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80" t="s">
        <v>119</v>
      </c>
      <c r="AL14" s="94">
        <f>Utilitas!X14/Utilitas!C30</f>
        <v>6.5392579181956359E-2</v>
      </c>
      <c r="AM14" s="188" t="s">
        <v>203</v>
      </c>
      <c r="AN14" s="131">
        <v>0</v>
      </c>
      <c r="AO14" s="132">
        <f t="shared" si="5"/>
        <v>0</v>
      </c>
      <c r="AP14" s="95" t="s">
        <v>121</v>
      </c>
      <c r="AQ14" s="111">
        <f>Utilitas!AA14/Utilitas!C30</f>
        <v>3.9284242991145929E-8</v>
      </c>
      <c r="AR14" s="188" t="s">
        <v>203</v>
      </c>
      <c r="AS14" s="129">
        <f>AS13</f>
        <v>6.2300000000000002E-9</v>
      </c>
      <c r="AT14" s="130">
        <f t="shared" si="6"/>
        <v>2.4474083383483914E-16</v>
      </c>
      <c r="AU14" s="79"/>
    </row>
    <row r="15" spans="1:47" ht="14.25" customHeight="1" x14ac:dyDescent="0.3">
      <c r="A15" s="79"/>
      <c r="B15" s="79"/>
      <c r="C15" s="78"/>
      <c r="D15" s="85"/>
      <c r="E15" s="85"/>
      <c r="F15" s="85"/>
      <c r="G15" s="85"/>
      <c r="H15" s="78"/>
      <c r="I15" s="85"/>
      <c r="J15" s="85"/>
      <c r="K15" s="85"/>
      <c r="L15" s="85"/>
      <c r="M15" s="78"/>
      <c r="N15" s="78"/>
      <c r="O15" s="78"/>
      <c r="P15" s="78"/>
      <c r="Q15" s="78"/>
      <c r="R15" s="78"/>
      <c r="S15" s="78"/>
      <c r="T15" s="78"/>
      <c r="U15" s="78"/>
      <c r="V15" s="87" t="s">
        <v>31</v>
      </c>
      <c r="W15" s="111">
        <f>Utilitas!O15/Utilitas!C30</f>
        <v>4.138249075389676E-5</v>
      </c>
      <c r="X15" s="18" t="s">
        <v>207</v>
      </c>
      <c r="Y15" s="127">
        <f t="shared" si="3"/>
        <v>2.2700000000000001E-8</v>
      </c>
      <c r="Z15" s="127">
        <f t="shared" si="4"/>
        <v>9.3938254011345658E-13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80" t="s">
        <v>122</v>
      </c>
      <c r="AL15" s="94">
        <f>Utilitas!X15/Utilitas!C30</f>
        <v>7.2658421313284859E-5</v>
      </c>
      <c r="AM15" s="188" t="s">
        <v>203</v>
      </c>
      <c r="AN15" s="125">
        <v>0</v>
      </c>
      <c r="AO15" s="132">
        <f t="shared" si="5"/>
        <v>0</v>
      </c>
      <c r="AP15" s="78"/>
      <c r="AQ15" s="97"/>
      <c r="AR15" s="78"/>
      <c r="AS15" s="78"/>
      <c r="AT15" s="78"/>
      <c r="AU15" s="79"/>
    </row>
    <row r="16" spans="1:47" ht="14.25" customHeight="1" x14ac:dyDescent="0.3">
      <c r="A16" s="98"/>
      <c r="B16" s="98"/>
      <c r="C16" s="84"/>
      <c r="D16" s="99"/>
      <c r="E16" s="99"/>
      <c r="F16" s="99"/>
      <c r="G16" s="99"/>
      <c r="H16" s="84"/>
      <c r="I16" s="99"/>
      <c r="J16" s="99"/>
      <c r="K16" s="99"/>
      <c r="L16" s="9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115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101" t="s">
        <v>123</v>
      </c>
      <c r="AL16" s="102">
        <f>Utilitas!X16/Utilitas!C30</f>
        <v>3.2696289590978186E-3</v>
      </c>
      <c r="AM16" s="188" t="s">
        <v>203</v>
      </c>
      <c r="AN16" s="133">
        <v>0</v>
      </c>
      <c r="AO16" s="132">
        <f t="shared" si="5"/>
        <v>0</v>
      </c>
      <c r="AP16" s="84"/>
      <c r="AQ16" s="84"/>
      <c r="AR16" s="84"/>
      <c r="AS16" s="84"/>
      <c r="AT16" s="84"/>
      <c r="AU16" s="98"/>
    </row>
    <row r="17" spans="1:47" ht="12.75" customHeight="1" x14ac:dyDescent="0.3">
      <c r="A17" s="103"/>
      <c r="B17" s="98"/>
      <c r="C17" s="84"/>
      <c r="D17" s="99"/>
      <c r="E17" s="99"/>
      <c r="F17" s="99"/>
      <c r="G17" s="99"/>
      <c r="H17" s="84"/>
      <c r="I17" s="99"/>
      <c r="J17" s="99"/>
      <c r="K17" s="99"/>
      <c r="L17" s="99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5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98"/>
    </row>
    <row r="18" spans="1:47" ht="12.75" customHeight="1" x14ac:dyDescent="0.3">
      <c r="A18" s="76">
        <v>3</v>
      </c>
      <c r="B18" s="104" t="s">
        <v>102</v>
      </c>
      <c r="C18" s="78"/>
      <c r="D18" s="85"/>
      <c r="E18" s="85"/>
      <c r="F18" s="85"/>
      <c r="G18" s="85"/>
      <c r="H18" s="79" t="s">
        <v>22</v>
      </c>
      <c r="I18" s="116">
        <f>'UT Unit Fungsi'!G18</f>
        <v>2.2169610837840557</v>
      </c>
      <c r="J18" s="188" t="s">
        <v>203</v>
      </c>
      <c r="K18" s="116">
        <f>K8</f>
        <v>6.4499999999999997E-7</v>
      </c>
      <c r="L18" s="116">
        <f>I18*K18</f>
        <v>1.4299398990407159E-6</v>
      </c>
      <c r="M18" s="78"/>
      <c r="N18" s="78"/>
      <c r="O18" s="78"/>
      <c r="P18" s="78"/>
      <c r="Q18" s="78"/>
      <c r="R18" s="117">
        <f>Utilitas!L18/Utilitas!C30</f>
        <v>7.40849022395951E-4</v>
      </c>
      <c r="S18" s="190" t="s">
        <v>203</v>
      </c>
      <c r="T18" s="117">
        <f>CF!F10</f>
        <v>3.28E-10</v>
      </c>
      <c r="U18" s="117">
        <f>R18*T18</f>
        <v>2.4299847934587194E-13</v>
      </c>
      <c r="V18" s="87" t="s">
        <v>24</v>
      </c>
      <c r="W18" s="117">
        <f>Utilitas!O18/Utilitas!C30</f>
        <v>1.130771077879893E-5</v>
      </c>
      <c r="X18" s="20" t="s">
        <v>205</v>
      </c>
      <c r="Y18" s="126">
        <f t="shared" ref="Y18:Y20" si="7">Y8</f>
        <v>1.55E-8</v>
      </c>
      <c r="Z18" s="126">
        <f t="shared" ref="Z18:Z20" si="8">W18*Y18</f>
        <v>1.752695170713834E-13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/>
    </row>
    <row r="19" spans="1:47" ht="14.25" customHeight="1" x14ac:dyDescent="0.3">
      <c r="A19" s="79"/>
      <c r="B19" s="77"/>
      <c r="C19" s="78"/>
      <c r="D19" s="85"/>
      <c r="E19" s="85"/>
      <c r="F19" s="85"/>
      <c r="G19" s="85"/>
      <c r="H19" s="78"/>
      <c r="I19" s="10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7" t="s">
        <v>29</v>
      </c>
      <c r="W19" s="117">
        <f>Utilitas!O19/Utilitas!C30</f>
        <v>1.7195193558045894E-4</v>
      </c>
      <c r="X19" s="18" t="s">
        <v>206</v>
      </c>
      <c r="Y19" s="127">
        <f t="shared" si="7"/>
        <v>5.1399999999999997E-8</v>
      </c>
      <c r="Z19" s="127">
        <f t="shared" si="8"/>
        <v>8.838329488835589E-12</v>
      </c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1:47" ht="14.25" customHeight="1" x14ac:dyDescent="0.3">
      <c r="A20" s="79"/>
      <c r="B20" s="77"/>
      <c r="C20" s="78"/>
      <c r="D20" s="85"/>
      <c r="E20" s="85"/>
      <c r="F20" s="85"/>
      <c r="G20" s="85"/>
      <c r="H20" s="78"/>
      <c r="I20" s="10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87" t="s">
        <v>31</v>
      </c>
      <c r="W20" s="117">
        <f>Utilitas!O20/Utilitas!C30</f>
        <v>6.7204152126163026E-3</v>
      </c>
      <c r="X20" s="18" t="s">
        <v>207</v>
      </c>
      <c r="Y20" s="127">
        <f t="shared" si="7"/>
        <v>2.2700000000000001E-8</v>
      </c>
      <c r="Z20" s="127">
        <f t="shared" si="8"/>
        <v>1.5255342532639008E-10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</row>
    <row r="21" spans="1:47" ht="14.25" customHeight="1" x14ac:dyDescent="0.3">
      <c r="A21" s="79"/>
      <c r="B21" s="77"/>
      <c r="C21" s="78"/>
      <c r="D21" s="85"/>
      <c r="E21" s="85"/>
      <c r="F21" s="85"/>
      <c r="G21" s="85"/>
      <c r="H21" s="78"/>
      <c r="I21" s="10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85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9"/>
    </row>
    <row r="22" spans="1:47" ht="14.25" customHeight="1" x14ac:dyDescent="0.3">
      <c r="A22" s="76">
        <v>4</v>
      </c>
      <c r="B22" s="77" t="s">
        <v>103</v>
      </c>
      <c r="C22" s="80" t="s">
        <v>124</v>
      </c>
      <c r="D22" s="111">
        <f>'UT Unit Fungsi'!D22</f>
        <v>0.21396490426821876</v>
      </c>
      <c r="E22" s="188" t="s">
        <v>203</v>
      </c>
      <c r="F22" s="94">
        <v>0</v>
      </c>
      <c r="G22" s="111">
        <f t="shared" ref="G22:G28" si="9">D22*F22</f>
        <v>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80" t="s">
        <v>124</v>
      </c>
      <c r="AG22" s="111">
        <f>Utilitas!U22/Utilitas!C30</f>
        <v>2.1398182754583456E-4</v>
      </c>
      <c r="AH22" s="188" t="s">
        <v>203</v>
      </c>
      <c r="AI22" s="111">
        <f>CF!F34</f>
        <v>3.3000000000000002E-9</v>
      </c>
      <c r="AJ22" s="111">
        <f t="shared" ref="AJ22:AJ28" si="10">AG22*AI22</f>
        <v>7.0614003090125409E-13</v>
      </c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9"/>
    </row>
    <row r="23" spans="1:47" ht="14.25" customHeight="1" x14ac:dyDescent="0.3">
      <c r="A23" s="79"/>
      <c r="B23" s="79"/>
      <c r="C23" s="108" t="s">
        <v>125</v>
      </c>
      <c r="D23" s="111">
        <f>'UT Unit Fungsi'!D23</f>
        <v>2.3811919465810231E-3</v>
      </c>
      <c r="E23" s="188" t="s">
        <v>203</v>
      </c>
      <c r="F23" s="94">
        <v>0</v>
      </c>
      <c r="G23" s="111">
        <f t="shared" si="9"/>
        <v>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108" t="s">
        <v>125</v>
      </c>
      <c r="AG23" s="111">
        <f>Utilitas!U23/Utilitas!C30</f>
        <v>2.3811919465810231E-6</v>
      </c>
      <c r="AH23" s="188" t="s">
        <v>203</v>
      </c>
      <c r="AI23" s="86">
        <f>F23</f>
        <v>0</v>
      </c>
      <c r="AJ23" s="111">
        <f t="shared" si="10"/>
        <v>0</v>
      </c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9"/>
    </row>
    <row r="24" spans="1:47" ht="14.25" customHeight="1" x14ac:dyDescent="0.3">
      <c r="A24" s="79"/>
      <c r="B24" s="79"/>
      <c r="C24" s="108" t="s">
        <v>126</v>
      </c>
      <c r="D24" s="111">
        <f>'UT Unit Fungsi'!D24</f>
        <v>2.6502286676525925E-2</v>
      </c>
      <c r="E24" s="188" t="s">
        <v>203</v>
      </c>
      <c r="F24" s="94">
        <v>0</v>
      </c>
      <c r="G24" s="111">
        <f t="shared" si="9"/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108" t="s">
        <v>126</v>
      </c>
      <c r="AG24" s="111">
        <f>Utilitas!U24/Utilitas!C30</f>
        <v>2.6502286676525927E-5</v>
      </c>
      <c r="AH24" s="188" t="s">
        <v>203</v>
      </c>
      <c r="AI24" s="111">
        <f>CF!F29</f>
        <v>5.6699999999999995E-11</v>
      </c>
      <c r="AJ24" s="111">
        <f t="shared" si="10"/>
        <v>1.5026796545590199E-15</v>
      </c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</row>
    <row r="25" spans="1:47" ht="14.25" customHeight="1" x14ac:dyDescent="0.3">
      <c r="A25" s="79"/>
      <c r="B25" s="79"/>
      <c r="C25" s="80" t="s">
        <v>127</v>
      </c>
      <c r="D25" s="111">
        <f>'UT Unit Fungsi'!D25</f>
        <v>4.7189908736343759E-3</v>
      </c>
      <c r="E25" s="188" t="s">
        <v>203</v>
      </c>
      <c r="F25" s="94">
        <v>0</v>
      </c>
      <c r="G25" s="111">
        <f t="shared" si="9"/>
        <v>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0" t="s">
        <v>127</v>
      </c>
      <c r="AG25" s="111">
        <f>Utilitas!U25/Utilitas!C30</f>
        <v>4.7189908736343763E-6</v>
      </c>
      <c r="AH25" s="188" t="s">
        <v>203</v>
      </c>
      <c r="AI25" s="111">
        <f>CF!F31</f>
        <v>7.2099999999999997E-9</v>
      </c>
      <c r="AJ25" s="111">
        <f t="shared" si="10"/>
        <v>3.4023924198903853E-14</v>
      </c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</row>
    <row r="26" spans="1:47" ht="14.25" customHeight="1" x14ac:dyDescent="0.3">
      <c r="A26" s="79"/>
      <c r="B26" s="79"/>
      <c r="C26" s="108" t="s">
        <v>128</v>
      </c>
      <c r="D26" s="118">
        <f>'UT Unit Fungsi'!D26</f>
        <v>5.0335902652099982E-3</v>
      </c>
      <c r="E26" s="188" t="s">
        <v>203</v>
      </c>
      <c r="F26" s="94">
        <v>0</v>
      </c>
      <c r="G26" s="111">
        <f t="shared" si="9"/>
        <v>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108" t="s">
        <v>128</v>
      </c>
      <c r="AG26" s="111">
        <f>Utilitas!U26/Utilitas!C30</f>
        <v>5.0335902652099982E-6</v>
      </c>
      <c r="AH26" s="188" t="s">
        <v>203</v>
      </c>
      <c r="AI26" s="111">
        <f>CF!F13</f>
        <v>3.9299999999999999E-7</v>
      </c>
      <c r="AJ26" s="111">
        <f t="shared" si="10"/>
        <v>1.9782009742275292E-12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</row>
    <row r="27" spans="1:47" ht="14.25" customHeight="1" x14ac:dyDescent="0.3">
      <c r="A27" s="79"/>
      <c r="B27" s="79"/>
      <c r="C27" s="108" t="s">
        <v>129</v>
      </c>
      <c r="D27" s="111">
        <f>'UT Unit Fungsi'!D27</f>
        <v>1.3180597136765854E-2</v>
      </c>
      <c r="E27" s="188" t="s">
        <v>203</v>
      </c>
      <c r="F27" s="94">
        <v>0</v>
      </c>
      <c r="G27" s="111">
        <f t="shared" si="9"/>
        <v>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108" t="s">
        <v>129</v>
      </c>
      <c r="AG27" s="111">
        <f>Utilitas!U27/Utilitas!C30</f>
        <v>1.3180597136765854E-5</v>
      </c>
      <c r="AH27" s="188" t="s">
        <v>203</v>
      </c>
      <c r="AI27" s="111">
        <f>CF!F25</f>
        <v>5.6100000000000003E-9</v>
      </c>
      <c r="AJ27" s="111">
        <f t="shared" si="10"/>
        <v>7.3943149937256439E-14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9"/>
    </row>
    <row r="28" spans="1:47" ht="14.25" customHeight="1" x14ac:dyDescent="0.3">
      <c r="A28" s="79"/>
      <c r="B28" s="79"/>
      <c r="C28" s="80" t="s">
        <v>130</v>
      </c>
      <c r="D28" s="111">
        <f>'UT Unit Fungsi'!D28</f>
        <v>1.4428178992951074E-3</v>
      </c>
      <c r="E28" s="188" t="s">
        <v>203</v>
      </c>
      <c r="F28" s="94">
        <v>0</v>
      </c>
      <c r="G28" s="111">
        <f t="shared" si="9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80" t="s">
        <v>130</v>
      </c>
      <c r="AG28" s="111">
        <f>Utilitas!U28/Utilitas!C30</f>
        <v>1.4428178992951075E-6</v>
      </c>
      <c r="AH28" s="188" t="s">
        <v>203</v>
      </c>
      <c r="AI28" s="111">
        <f>CF!F34</f>
        <v>3.3000000000000002E-9</v>
      </c>
      <c r="AJ28" s="111">
        <f t="shared" si="10"/>
        <v>4.7612990676738555E-15</v>
      </c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9"/>
    </row>
    <row r="29" spans="1:47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ht="14.25" customHeight="1" x14ac:dyDescent="0.35">
      <c r="A30" s="109"/>
      <c r="B30" s="135" t="s">
        <v>94</v>
      </c>
      <c r="C30" s="109"/>
      <c r="D30" s="136" t="s">
        <v>100</v>
      </c>
      <c r="E30" s="137">
        <f>SUM(G5:G7,L8,Z8:Z10,AE6,AT6)</f>
        <v>4.3117060925485831E-9</v>
      </c>
      <c r="F30" s="109"/>
      <c r="G30" s="381" t="s">
        <v>210</v>
      </c>
      <c r="H30" s="381"/>
      <c r="I30" s="381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</row>
    <row r="31" spans="1:47" ht="14.25" customHeight="1" x14ac:dyDescent="0.35">
      <c r="A31" s="109"/>
      <c r="B31" s="138">
        <f>SUM(G5:G7,L8,L13,L18,Q13:Q14,U18,Z8:Z10,Z13:Z15,Z18:Z20,AE6,AJ22:AJ28,AO13:AO16,AT6,AT13:AT14)</f>
        <v>1.4442647981780494E-6</v>
      </c>
      <c r="C31" s="109"/>
      <c r="D31" s="136" t="s">
        <v>101</v>
      </c>
      <c r="E31" s="137">
        <f>SUM(L13,Q13:Q14,Z13:Z15,AO13:AO16,AT13:AT14)</f>
        <v>9.8485844499153928E-9</v>
      </c>
      <c r="F31" s="109"/>
      <c r="G31" s="197" t="s">
        <v>86</v>
      </c>
      <c r="H31" s="195" t="s">
        <v>211</v>
      </c>
      <c r="I31" s="197" t="s">
        <v>212</v>
      </c>
      <c r="J31" s="109"/>
      <c r="K31" s="109"/>
      <c r="L31" s="109"/>
      <c r="M31" s="10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ht="14.25" customHeight="1" x14ac:dyDescent="0.35">
      <c r="A32" s="109"/>
      <c r="B32" s="135" t="s">
        <v>95</v>
      </c>
      <c r="C32" s="109"/>
      <c r="D32" s="136" t="s">
        <v>102</v>
      </c>
      <c r="E32" s="137">
        <f>SUM(L18,U18,Z18:Z20)</f>
        <v>1.4301017090635275E-6</v>
      </c>
      <c r="F32" s="109"/>
      <c r="G32" s="215">
        <f>G5</f>
        <v>9.8992517144988828E-13</v>
      </c>
      <c r="H32" s="216">
        <f>(G32/$G$71)*100%</f>
        <v>6.8541805678479889E-7</v>
      </c>
      <c r="I32" s="220"/>
      <c r="J32" s="109"/>
      <c r="K32" s="109"/>
      <c r="L32" s="109"/>
      <c r="M32" s="109"/>
      <c r="N32" s="140"/>
      <c r="O32" s="139"/>
      <c r="P32" s="139"/>
      <c r="Q32" s="139"/>
      <c r="R32" s="139"/>
      <c r="S32" s="139"/>
      <c r="T32" s="139"/>
      <c r="U32" s="139"/>
      <c r="V32" s="139"/>
      <c r="W32" s="13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ht="14.25" customHeight="1" x14ac:dyDescent="0.3">
      <c r="A33" s="109"/>
      <c r="B33" s="109"/>
      <c r="C33" s="109"/>
      <c r="D33" s="136" t="s">
        <v>103</v>
      </c>
      <c r="E33" s="137">
        <f>SUM(AJ22:AJ28)</f>
        <v>2.7985720579871763E-12</v>
      </c>
      <c r="F33" s="109"/>
      <c r="G33" s="215">
        <f t="shared" ref="G33:G34" si="11">G6</f>
        <v>0</v>
      </c>
      <c r="H33" s="216">
        <f t="shared" ref="H33:H70" si="12">(G33/$G$71)*100%</f>
        <v>0</v>
      </c>
      <c r="I33" s="220"/>
      <c r="J33" s="109"/>
      <c r="K33" s="109"/>
      <c r="L33" s="109"/>
      <c r="M33" s="109"/>
      <c r="N33" s="141"/>
      <c r="O33" s="142"/>
      <c r="P33" s="142"/>
      <c r="Q33" s="142"/>
      <c r="R33" s="141"/>
      <c r="S33" s="139"/>
      <c r="T33" s="139"/>
      <c r="U33" s="139"/>
      <c r="V33" s="139"/>
      <c r="W33" s="13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</row>
    <row r="34" spans="1:47" ht="14.25" customHeight="1" x14ac:dyDescent="0.3">
      <c r="A34" s="109"/>
      <c r="B34" s="109"/>
      <c r="C34" s="109"/>
      <c r="D34" s="109"/>
      <c r="E34" s="137">
        <f>SUM(E30:E33)</f>
        <v>1.4442647981780496E-6</v>
      </c>
      <c r="F34" s="109"/>
      <c r="G34" s="215">
        <f t="shared" si="11"/>
        <v>0</v>
      </c>
      <c r="H34" s="216">
        <f t="shared" si="12"/>
        <v>0</v>
      </c>
      <c r="I34" s="220"/>
      <c r="J34" s="109"/>
      <c r="K34" s="109"/>
      <c r="L34" s="109"/>
      <c r="M34" s="109"/>
      <c r="N34" s="141"/>
      <c r="O34" s="142"/>
      <c r="P34" s="142"/>
      <c r="Q34" s="142"/>
      <c r="R34" s="141"/>
      <c r="S34" s="139"/>
      <c r="T34" s="139"/>
      <c r="U34" s="139"/>
      <c r="V34" s="139"/>
      <c r="W34" s="13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14.25" customHeight="1" x14ac:dyDescent="0.3">
      <c r="A35" s="109"/>
      <c r="B35" s="109"/>
      <c r="C35" s="109"/>
      <c r="D35" s="109"/>
      <c r="E35" s="109"/>
      <c r="F35" s="109"/>
      <c r="G35" s="215">
        <f>G22</f>
        <v>0</v>
      </c>
      <c r="H35" s="216">
        <f t="shared" si="12"/>
        <v>0</v>
      </c>
      <c r="I35" s="220"/>
      <c r="J35" s="109"/>
      <c r="K35" s="109"/>
      <c r="L35" s="109"/>
      <c r="M35" s="109"/>
      <c r="N35" s="141"/>
      <c r="O35" s="142"/>
      <c r="P35" s="142"/>
      <c r="Q35" s="142"/>
      <c r="R35" s="141"/>
      <c r="S35" s="139"/>
      <c r="T35" s="139"/>
      <c r="U35" s="139"/>
      <c r="V35" s="139"/>
      <c r="W35" s="13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ht="14.25" customHeight="1" x14ac:dyDescent="0.3">
      <c r="A36" s="109"/>
      <c r="B36" s="109"/>
      <c r="C36" s="109"/>
      <c r="D36" s="109"/>
      <c r="E36" s="109"/>
      <c r="F36" s="109"/>
      <c r="G36" s="215">
        <f t="shared" ref="G36:G41" si="13">G23</f>
        <v>0</v>
      </c>
      <c r="H36" s="216">
        <f t="shared" si="12"/>
        <v>0</v>
      </c>
      <c r="I36" s="220"/>
      <c r="J36" s="109"/>
      <c r="K36" s="109"/>
      <c r="L36" s="109"/>
      <c r="M36" s="109"/>
      <c r="N36" s="141"/>
      <c r="O36" s="142"/>
      <c r="P36" s="142"/>
      <c r="Q36" s="142"/>
      <c r="R36" s="141"/>
      <c r="S36" s="139"/>
      <c r="T36" s="139"/>
      <c r="U36" s="139"/>
      <c r="V36" s="139"/>
      <c r="W36" s="13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</row>
    <row r="37" spans="1:47" ht="14.25" customHeight="1" x14ac:dyDescent="0.3">
      <c r="A37" s="109"/>
      <c r="B37" s="109"/>
      <c r="C37" s="109"/>
      <c r="D37" s="109"/>
      <c r="E37" s="109"/>
      <c r="F37" s="109"/>
      <c r="G37" s="215">
        <f t="shared" si="13"/>
        <v>0</v>
      </c>
      <c r="H37" s="216">
        <f t="shared" si="12"/>
        <v>0</v>
      </c>
      <c r="I37" s="220"/>
      <c r="J37" s="109"/>
      <c r="K37" s="109"/>
      <c r="L37" s="109"/>
      <c r="M37" s="109"/>
      <c r="N37" s="141"/>
      <c r="O37" s="142"/>
      <c r="P37" s="142"/>
      <c r="Q37" s="142"/>
      <c r="R37" s="141"/>
      <c r="S37" s="139"/>
      <c r="T37" s="139"/>
      <c r="U37" s="139"/>
      <c r="V37" s="139"/>
      <c r="W37" s="13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ht="14.25" customHeight="1" x14ac:dyDescent="0.3">
      <c r="A38" s="109"/>
      <c r="B38" s="109"/>
      <c r="C38" s="109"/>
      <c r="D38" s="109"/>
      <c r="E38" s="109"/>
      <c r="F38" s="109"/>
      <c r="G38" s="215">
        <f t="shared" si="13"/>
        <v>0</v>
      </c>
      <c r="H38" s="216">
        <f t="shared" si="12"/>
        <v>0</v>
      </c>
      <c r="I38" s="220"/>
      <c r="J38" s="109"/>
      <c r="K38" s="109"/>
      <c r="L38" s="109"/>
      <c r="M38" s="109"/>
      <c r="N38" s="141"/>
      <c r="O38" s="142"/>
      <c r="P38" s="142"/>
      <c r="Q38" s="142"/>
      <c r="R38" s="141"/>
      <c r="S38" s="139"/>
      <c r="T38" s="139"/>
      <c r="U38" s="139"/>
      <c r="V38" s="139"/>
      <c r="W38" s="13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ht="14.25" customHeight="1" x14ac:dyDescent="0.3">
      <c r="A39" s="109"/>
      <c r="B39" s="109"/>
      <c r="C39" s="109"/>
      <c r="D39" s="109"/>
      <c r="E39" s="109"/>
      <c r="F39" s="109"/>
      <c r="G39" s="215">
        <f t="shared" si="13"/>
        <v>0</v>
      </c>
      <c r="H39" s="216">
        <f t="shared" si="12"/>
        <v>0</v>
      </c>
      <c r="I39" s="220"/>
      <c r="J39" s="109"/>
      <c r="K39" s="109"/>
      <c r="L39" s="109"/>
      <c r="M39" s="109"/>
      <c r="N39" s="140"/>
      <c r="O39" s="139"/>
      <c r="P39" s="139"/>
      <c r="Q39" s="139"/>
      <c r="R39" s="141"/>
      <c r="S39" s="143"/>
      <c r="T39" s="143"/>
      <c r="U39" s="143"/>
      <c r="V39" s="143"/>
      <c r="W39" s="143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ht="14.25" customHeight="1" x14ac:dyDescent="0.3">
      <c r="A40" s="109"/>
      <c r="B40" s="109"/>
      <c r="C40" s="109"/>
      <c r="D40" s="109"/>
      <c r="E40" s="109"/>
      <c r="F40" s="109"/>
      <c r="G40" s="215">
        <f t="shared" si="13"/>
        <v>0</v>
      </c>
      <c r="H40" s="216">
        <f t="shared" si="12"/>
        <v>0</v>
      </c>
      <c r="I40" s="220"/>
      <c r="J40" s="109"/>
      <c r="K40" s="109"/>
      <c r="L40" s="109"/>
      <c r="M40" s="109"/>
      <c r="N40" s="144"/>
      <c r="O40" s="142"/>
      <c r="P40" s="142"/>
      <c r="Q40" s="142"/>
      <c r="R40" s="141"/>
      <c r="S40" s="143"/>
      <c r="T40" s="143"/>
      <c r="U40" s="143"/>
      <c r="V40" s="143"/>
      <c r="W40" s="143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ht="14.25" customHeight="1" x14ac:dyDescent="0.3">
      <c r="A41" s="109"/>
      <c r="B41" s="109"/>
      <c r="C41" s="109"/>
      <c r="D41" s="109"/>
      <c r="E41" s="109"/>
      <c r="F41" s="109"/>
      <c r="G41" s="223">
        <f t="shared" si="13"/>
        <v>0</v>
      </c>
      <c r="H41" s="224">
        <f t="shared" si="12"/>
        <v>0</v>
      </c>
      <c r="I41" s="225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ht="14.25" customHeight="1" x14ac:dyDescent="0.3">
      <c r="A42" s="109"/>
      <c r="B42" s="109"/>
      <c r="C42" s="109"/>
      <c r="D42" s="109"/>
      <c r="E42" s="109"/>
      <c r="F42" s="109"/>
      <c r="G42" s="215">
        <f>L8</f>
        <v>4.3102286296837E-9</v>
      </c>
      <c r="H42" s="216">
        <f t="shared" si="12"/>
        <v>2.984375604197433E-3</v>
      </c>
      <c r="I42" s="220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ht="14.25" customHeight="1" x14ac:dyDescent="0.3">
      <c r="A43" s="109"/>
      <c r="B43" s="109"/>
      <c r="C43" s="109"/>
      <c r="D43" s="109"/>
      <c r="E43" s="109"/>
      <c r="F43" s="109"/>
      <c r="G43" s="215">
        <f>L13</f>
        <v>8.8051813434967002E-9</v>
      </c>
      <c r="H43" s="216">
        <f t="shared" si="12"/>
        <v>6.0966530200033267E-3</v>
      </c>
      <c r="I43" s="220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ht="14.25" customHeight="1" x14ac:dyDescent="0.3">
      <c r="A44" s="109"/>
      <c r="B44" s="109"/>
      <c r="C44" s="109"/>
      <c r="D44" s="109"/>
      <c r="E44" s="109"/>
      <c r="F44" s="109"/>
      <c r="G44" s="221">
        <f>L18</f>
        <v>1.4299398990407159E-6</v>
      </c>
      <c r="H44" s="222">
        <f t="shared" si="12"/>
        <v>0.99008152857051945</v>
      </c>
      <c r="I44" s="246" t="s">
        <v>248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ht="14.25" customHeight="1" x14ac:dyDescent="0.3">
      <c r="A45" s="109"/>
      <c r="B45" s="109"/>
      <c r="C45" s="109"/>
      <c r="D45" s="109"/>
      <c r="E45" s="109"/>
      <c r="F45" s="109"/>
      <c r="G45" s="217">
        <f>Q13</f>
        <v>0</v>
      </c>
      <c r="H45" s="216">
        <f t="shared" si="12"/>
        <v>0</v>
      </c>
      <c r="I45" s="220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ht="14.25" customHeight="1" x14ac:dyDescent="0.3">
      <c r="A46" s="109"/>
      <c r="B46" s="109"/>
      <c r="C46" s="109"/>
      <c r="D46" s="109"/>
      <c r="E46" s="109"/>
      <c r="F46" s="109"/>
      <c r="G46" s="217">
        <f>Q14</f>
        <v>9.1925128599281468E-10</v>
      </c>
      <c r="H46" s="216">
        <f t="shared" si="12"/>
        <v>6.3648389627196959E-4</v>
      </c>
      <c r="I46" s="220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ht="14.25" customHeight="1" x14ac:dyDescent="0.3">
      <c r="A47" s="109"/>
      <c r="B47" s="109"/>
      <c r="C47" s="109"/>
      <c r="D47" s="109"/>
      <c r="E47" s="109"/>
      <c r="F47" s="109"/>
      <c r="G47" s="215">
        <f>U18</f>
        <v>2.4299847934587194E-13</v>
      </c>
      <c r="H47" s="216">
        <f t="shared" si="12"/>
        <v>1.6825064188534976E-7</v>
      </c>
      <c r="I47" s="220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ht="14.25" customHeight="1" x14ac:dyDescent="0.3">
      <c r="A48" s="109"/>
      <c r="B48" s="109"/>
      <c r="C48" s="109"/>
      <c r="D48" s="109"/>
      <c r="E48" s="109"/>
      <c r="F48" s="109"/>
      <c r="G48" s="215">
        <f>Z8</f>
        <v>5.2831009953545064E-16</v>
      </c>
      <c r="H48" s="216">
        <f t="shared" si="12"/>
        <v>3.6579864038915695E-10</v>
      </c>
      <c r="I48" s="220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ht="14.25" customHeight="1" x14ac:dyDescent="0.3">
      <c r="A49" s="109"/>
      <c r="B49" s="109"/>
      <c r="C49" s="109"/>
      <c r="D49" s="109"/>
      <c r="E49" s="109"/>
      <c r="F49" s="109"/>
      <c r="G49" s="215">
        <f t="shared" ref="G49:G50" si="14">Z9</f>
        <v>2.664113423711953E-14</v>
      </c>
      <c r="H49" s="216">
        <f t="shared" si="12"/>
        <v>1.8446156321699122E-8</v>
      </c>
      <c r="I49" s="220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ht="14.25" customHeight="1" x14ac:dyDescent="0.3">
      <c r="A50" s="109"/>
      <c r="B50" s="109"/>
      <c r="C50" s="109"/>
      <c r="D50" s="109"/>
      <c r="E50" s="109"/>
      <c r="F50" s="109"/>
      <c r="G50" s="215">
        <f t="shared" si="14"/>
        <v>4.5983760704854506E-13</v>
      </c>
      <c r="H50" s="216">
        <f t="shared" si="12"/>
        <v>3.1838871073270882E-7</v>
      </c>
      <c r="I50" s="220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ht="14.25" customHeight="1" x14ac:dyDescent="0.3">
      <c r="A51" s="109"/>
      <c r="B51" s="109"/>
      <c r="C51" s="109"/>
      <c r="D51" s="109"/>
      <c r="E51" s="109"/>
      <c r="F51" s="109"/>
      <c r="G51" s="215">
        <f>Z13</f>
        <v>1.0792620604795635E-15</v>
      </c>
      <c r="H51" s="216">
        <f t="shared" si="12"/>
        <v>7.4727436536642069E-10</v>
      </c>
      <c r="I51" s="220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ht="14.25" customHeight="1" x14ac:dyDescent="0.3">
      <c r="A52" s="109"/>
      <c r="B52" s="109"/>
      <c r="C52" s="109"/>
      <c r="D52" s="109"/>
      <c r="E52" s="109"/>
      <c r="F52" s="109"/>
      <c r="G52" s="215">
        <f t="shared" ref="G52:G53" si="15">Z14</f>
        <v>5.4424031370115604E-14</v>
      </c>
      <c r="H52" s="216">
        <f t="shared" si="12"/>
        <v>3.7682862200042484E-8</v>
      </c>
      <c r="I52" s="220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ht="14.25" customHeight="1" x14ac:dyDescent="0.3">
      <c r="A53" s="109"/>
      <c r="B53" s="109"/>
      <c r="C53" s="109"/>
      <c r="D53" s="109"/>
      <c r="E53" s="109"/>
      <c r="F53" s="109"/>
      <c r="G53" s="215">
        <f t="shared" si="15"/>
        <v>9.3938254011345658E-13</v>
      </c>
      <c r="H53" s="216">
        <f t="shared" si="12"/>
        <v>6.5042265192539107E-7</v>
      </c>
      <c r="I53" s="220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ht="14.25" customHeight="1" x14ac:dyDescent="0.3">
      <c r="A54" s="109"/>
      <c r="B54" s="109"/>
      <c r="C54" s="109"/>
      <c r="D54" s="109"/>
      <c r="E54" s="109"/>
      <c r="F54" s="109"/>
      <c r="G54" s="215">
        <f>Z18</f>
        <v>1.752695170713834E-13</v>
      </c>
      <c r="H54" s="216">
        <f t="shared" si="12"/>
        <v>1.2135552794230475E-7</v>
      </c>
      <c r="I54" s="220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ht="14.25" customHeight="1" x14ac:dyDescent="0.3">
      <c r="A55" s="109"/>
      <c r="B55" s="109"/>
      <c r="C55" s="109"/>
      <c r="D55" s="109"/>
      <c r="E55" s="109"/>
      <c r="F55" s="109"/>
      <c r="G55" s="215">
        <f t="shared" ref="G55:G56" si="16">Z19</f>
        <v>8.838329488835589E-12</v>
      </c>
      <c r="H55" s="216">
        <f t="shared" si="12"/>
        <v>6.1196045905052913E-6</v>
      </c>
      <c r="I55" s="220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ht="14.25" customHeight="1" x14ac:dyDescent="0.3">
      <c r="A56" s="109"/>
      <c r="B56" s="109"/>
      <c r="C56" s="109"/>
      <c r="D56" s="109"/>
      <c r="E56" s="109"/>
      <c r="F56" s="109"/>
      <c r="G56" s="215">
        <f t="shared" si="16"/>
        <v>1.5255342532639008E-10</v>
      </c>
      <c r="H56" s="216">
        <f t="shared" si="12"/>
        <v>1.0562704672912983E-4</v>
      </c>
      <c r="I56" s="220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ht="14.25" customHeight="1" x14ac:dyDescent="0.3">
      <c r="A57" s="109"/>
      <c r="B57" s="109"/>
      <c r="C57" s="109"/>
      <c r="D57" s="109"/>
      <c r="E57" s="109"/>
      <c r="F57" s="109"/>
      <c r="G57" s="215">
        <f>AE6</f>
        <v>0</v>
      </c>
      <c r="H57" s="216">
        <f t="shared" si="12"/>
        <v>0</v>
      </c>
      <c r="I57" s="220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ht="14.25" customHeight="1" x14ac:dyDescent="0.3">
      <c r="A58" s="109"/>
      <c r="B58" s="109"/>
      <c r="C58" s="109"/>
      <c r="D58" s="109"/>
      <c r="E58" s="109"/>
      <c r="F58" s="109"/>
      <c r="G58" s="215">
        <f>AJ22</f>
        <v>7.0614003090125409E-13</v>
      </c>
      <c r="H58" s="216">
        <f t="shared" si="12"/>
        <v>4.8892698332885698E-7</v>
      </c>
      <c r="I58" s="22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ht="14.25" customHeight="1" x14ac:dyDescent="0.3">
      <c r="A59" s="109"/>
      <c r="B59" s="109"/>
      <c r="C59" s="109"/>
      <c r="D59" s="109"/>
      <c r="E59" s="109"/>
      <c r="F59" s="109"/>
      <c r="G59" s="215">
        <f t="shared" ref="G59:G64" si="17">AJ23</f>
        <v>0</v>
      </c>
      <c r="H59" s="216">
        <f t="shared" si="12"/>
        <v>0</v>
      </c>
      <c r="I59" s="220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ht="14.25" customHeight="1" x14ac:dyDescent="0.3">
      <c r="A60" s="109"/>
      <c r="B60" s="109"/>
      <c r="C60" s="109"/>
      <c r="D60" s="109"/>
      <c r="E60" s="109"/>
      <c r="F60" s="109"/>
      <c r="G60" s="215">
        <f t="shared" si="17"/>
        <v>1.5026796545590199E-15</v>
      </c>
      <c r="H60" s="216">
        <f t="shared" si="12"/>
        <v>1.0404460847170555E-9</v>
      </c>
      <c r="I60" s="220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ht="14.25" customHeight="1" x14ac:dyDescent="0.3">
      <c r="A61" s="109"/>
      <c r="B61" s="109"/>
      <c r="C61" s="109"/>
      <c r="D61" s="109"/>
      <c r="E61" s="109"/>
      <c r="F61" s="109"/>
      <c r="G61" s="215">
        <f t="shared" si="17"/>
        <v>3.4023924198903853E-14</v>
      </c>
      <c r="H61" s="216">
        <f t="shared" si="12"/>
        <v>2.3557954359772033E-8</v>
      </c>
      <c r="I61" s="220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ht="14.25" customHeight="1" x14ac:dyDescent="0.3">
      <c r="A62" s="109"/>
      <c r="B62" s="109"/>
      <c r="C62" s="109"/>
      <c r="D62" s="109"/>
      <c r="E62" s="109"/>
      <c r="F62" s="109"/>
      <c r="G62" s="215">
        <f t="shared" si="17"/>
        <v>1.9782009742275292E-12</v>
      </c>
      <c r="H62" s="216">
        <f t="shared" si="12"/>
        <v>1.369694100917674E-6</v>
      </c>
      <c r="I62" s="220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ht="14.25" customHeight="1" x14ac:dyDescent="0.3">
      <c r="A63" s="109"/>
      <c r="B63" s="109"/>
      <c r="C63" s="109"/>
      <c r="D63" s="109"/>
      <c r="E63" s="109"/>
      <c r="F63" s="109"/>
      <c r="G63" s="215">
        <f t="shared" si="17"/>
        <v>7.3943149937256439E-14</v>
      </c>
      <c r="H63" s="216">
        <f t="shared" si="12"/>
        <v>5.1197778987991857E-8</v>
      </c>
      <c r="I63" s="220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ht="14.25" customHeight="1" x14ac:dyDescent="0.3">
      <c r="A64" s="109"/>
      <c r="B64" s="109"/>
      <c r="C64" s="109"/>
      <c r="D64" s="109"/>
      <c r="E64" s="109"/>
      <c r="F64" s="109"/>
      <c r="G64" s="215">
        <f t="shared" si="17"/>
        <v>4.7612990676738555E-15</v>
      </c>
      <c r="H64" s="216">
        <f t="shared" si="12"/>
        <v>3.2966939813808863E-9</v>
      </c>
      <c r="I64" s="220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ht="14.25" customHeight="1" x14ac:dyDescent="0.3">
      <c r="A65" s="109"/>
      <c r="B65" s="109"/>
      <c r="C65" s="109"/>
      <c r="D65" s="109"/>
      <c r="E65" s="109"/>
      <c r="F65" s="109"/>
      <c r="G65" s="223">
        <f>AO13</f>
        <v>1.2315602412601781E-10</v>
      </c>
      <c r="H65" s="224">
        <f t="shared" si="12"/>
        <v>8.5272468235312549E-5</v>
      </c>
      <c r="I65" s="225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ht="14.25" customHeight="1" x14ac:dyDescent="0.3">
      <c r="A66" s="109"/>
      <c r="B66" s="109"/>
      <c r="C66" s="109"/>
      <c r="D66" s="109"/>
      <c r="E66" s="109"/>
      <c r="F66" s="109"/>
      <c r="G66" s="215">
        <f t="shared" ref="G66:G67" si="18">AO14</f>
        <v>0</v>
      </c>
      <c r="H66" s="216">
        <f t="shared" si="12"/>
        <v>0</v>
      </c>
      <c r="I66" s="220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ht="14.25" customHeight="1" x14ac:dyDescent="0.3">
      <c r="A67" s="109"/>
      <c r="B67" s="109"/>
      <c r="C67" s="109"/>
      <c r="D67" s="109"/>
      <c r="E67" s="109"/>
      <c r="F67" s="109"/>
      <c r="G67" s="215">
        <f t="shared" si="18"/>
        <v>0</v>
      </c>
      <c r="H67" s="216">
        <f t="shared" si="12"/>
        <v>0</v>
      </c>
      <c r="I67" s="220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ht="14.25" customHeight="1" x14ac:dyDescent="0.3">
      <c r="A68" s="109"/>
      <c r="B68" s="109"/>
      <c r="C68" s="109"/>
      <c r="D68" s="109"/>
      <c r="E68" s="109"/>
      <c r="F68" s="109"/>
      <c r="G68" s="215">
        <f>AT6</f>
        <v>5.3064204854105905E-16</v>
      </c>
      <c r="H68" s="216">
        <f t="shared" si="12"/>
        <v>3.6741326743576933E-10</v>
      </c>
      <c r="I68" s="220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ht="14.25" customHeight="1" x14ac:dyDescent="0.3">
      <c r="A69" s="109"/>
      <c r="B69" s="109"/>
      <c r="C69" s="109"/>
      <c r="D69" s="109"/>
      <c r="E69" s="109"/>
      <c r="F69" s="109"/>
      <c r="G69" s="215">
        <f>AT13</f>
        <v>6.6572548111332393E-16</v>
      </c>
      <c r="H69" s="216">
        <f t="shared" si="12"/>
        <v>4.6094419939691219E-10</v>
      </c>
      <c r="I69" s="220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ht="14.25" customHeight="1" x14ac:dyDescent="0.3">
      <c r="A70" s="109"/>
      <c r="B70" s="109"/>
      <c r="C70" s="109"/>
      <c r="D70" s="109"/>
      <c r="E70" s="109"/>
      <c r="F70" s="109"/>
      <c r="G70" s="215">
        <f>AT14</f>
        <v>2.4474083383483914E-16</v>
      </c>
      <c r="H70" s="216">
        <f t="shared" si="12"/>
        <v>1.6945703734078507E-10</v>
      </c>
      <c r="I70" s="220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ht="14.25" customHeight="1" x14ac:dyDescent="0.3">
      <c r="A71" s="109"/>
      <c r="B71" s="109"/>
      <c r="C71" s="109"/>
      <c r="D71" s="109"/>
      <c r="E71" s="109"/>
      <c r="F71" s="109"/>
      <c r="G71" s="218">
        <f>SUM(G32:G70)</f>
        <v>1.4442647981780494E-6</v>
      </c>
      <c r="H71" s="219">
        <f>SUM(H32:H70)</f>
        <v>1.0000000000000002</v>
      </c>
      <c r="I71" s="110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1:47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1:47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1:47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1:47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1:47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47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47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47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1:47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1:47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1:47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1:47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1:47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1:47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1:47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1:47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1:47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1:47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1:47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1:47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1:47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1:47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1:47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1:47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1:47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1:47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1:47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1:47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1:47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1:47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1:47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1:47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1:47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1:47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1:47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1:47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1:47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1:47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1:47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1:47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1:47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1:47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  <row r="123" spans="1:47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</row>
    <row r="124" spans="1:47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</row>
    <row r="125" spans="1:47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</row>
    <row r="126" spans="1:47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</row>
    <row r="127" spans="1:47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</row>
    <row r="128" spans="1:47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</row>
    <row r="129" spans="1:47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</row>
    <row r="130" spans="1:47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</row>
    <row r="131" spans="1:47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</row>
    <row r="132" spans="1:47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</row>
    <row r="133" spans="1:47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</row>
    <row r="134" spans="1:47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</row>
    <row r="135" spans="1:47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</row>
    <row r="136" spans="1:47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</row>
    <row r="137" spans="1:47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</row>
    <row r="138" spans="1:47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</row>
    <row r="139" spans="1:47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</row>
    <row r="140" spans="1:47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</row>
    <row r="141" spans="1:47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</row>
    <row r="142" spans="1:47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</row>
    <row r="143" spans="1:47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</row>
    <row r="144" spans="1:47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</row>
    <row r="145" spans="1:47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</row>
    <row r="146" spans="1:47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</row>
    <row r="147" spans="1:47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</row>
    <row r="148" spans="1:47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</row>
    <row r="149" spans="1:47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</row>
    <row r="150" spans="1:47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</row>
    <row r="151" spans="1:47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</row>
    <row r="152" spans="1:47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</row>
    <row r="153" spans="1:47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</row>
    <row r="154" spans="1:47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</row>
    <row r="155" spans="1:47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</row>
    <row r="156" spans="1:47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</row>
    <row r="157" spans="1:47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</row>
    <row r="158" spans="1:47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</row>
    <row r="159" spans="1:47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</row>
    <row r="160" spans="1:47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</row>
    <row r="161" spans="1:47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</row>
    <row r="162" spans="1:47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</row>
    <row r="163" spans="1:47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</row>
    <row r="164" spans="1:47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</row>
    <row r="165" spans="1:47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</row>
    <row r="166" spans="1:47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</row>
    <row r="167" spans="1:47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</row>
    <row r="168" spans="1:47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</row>
    <row r="169" spans="1:47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</row>
    <row r="170" spans="1:47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</row>
    <row r="171" spans="1:47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</row>
    <row r="172" spans="1:47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</row>
    <row r="173" spans="1:47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</row>
    <row r="174" spans="1:47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</row>
    <row r="175" spans="1:47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</row>
    <row r="176" spans="1:47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</row>
    <row r="177" spans="1:47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</row>
    <row r="178" spans="1:47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</row>
    <row r="179" spans="1:47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</row>
    <row r="180" spans="1:47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</row>
    <row r="181" spans="1:47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</row>
    <row r="182" spans="1:47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</row>
    <row r="183" spans="1:47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</row>
    <row r="184" spans="1:47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</row>
    <row r="185" spans="1:47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</row>
    <row r="186" spans="1:47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</row>
    <row r="187" spans="1:47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</row>
    <row r="188" spans="1:47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</row>
    <row r="189" spans="1:47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</row>
    <row r="190" spans="1:47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</row>
    <row r="191" spans="1:47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</row>
    <row r="192" spans="1:47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</row>
    <row r="193" spans="1:47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</row>
    <row r="194" spans="1:47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</row>
    <row r="195" spans="1:47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</row>
    <row r="196" spans="1:47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</row>
    <row r="197" spans="1:47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</row>
    <row r="198" spans="1:47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</row>
    <row r="199" spans="1:47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</row>
    <row r="200" spans="1:47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</row>
    <row r="201" spans="1:47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</row>
    <row r="202" spans="1:47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</row>
    <row r="203" spans="1:47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</row>
    <row r="204" spans="1:47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</row>
    <row r="205" spans="1:47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</row>
    <row r="206" spans="1:47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</row>
    <row r="207" spans="1:47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</row>
    <row r="208" spans="1:47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</row>
    <row r="209" spans="1:47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</row>
    <row r="210" spans="1:47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</row>
    <row r="211" spans="1:47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</row>
    <row r="212" spans="1:47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</row>
    <row r="213" spans="1:47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</row>
    <row r="214" spans="1:47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</row>
    <row r="215" spans="1:47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</row>
    <row r="216" spans="1:47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</row>
    <row r="217" spans="1:47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</row>
    <row r="218" spans="1:47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</row>
    <row r="219" spans="1:47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</row>
    <row r="220" spans="1:47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</row>
    <row r="221" spans="1:47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</row>
    <row r="222" spans="1:47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</row>
    <row r="223" spans="1:47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</row>
    <row r="224" spans="1:47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</row>
    <row r="225" spans="1:47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</row>
    <row r="226" spans="1:47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</row>
    <row r="227" spans="1:47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</row>
    <row r="228" spans="1:47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</row>
    <row r="229" spans="1:47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</row>
    <row r="230" spans="1:47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</row>
    <row r="231" spans="1:47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</row>
    <row r="232" spans="1:47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</row>
    <row r="233" spans="1:47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</row>
    <row r="234" spans="1:47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</row>
    <row r="235" spans="1:47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</row>
    <row r="236" spans="1:47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</row>
    <row r="237" spans="1:47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</row>
    <row r="238" spans="1:47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</row>
    <row r="239" spans="1:47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</row>
    <row r="240" spans="1:47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</row>
    <row r="241" spans="1:47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</row>
    <row r="242" spans="1:47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</row>
    <row r="243" spans="1:47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</row>
    <row r="244" spans="1:47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</row>
    <row r="245" spans="1:47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</row>
    <row r="246" spans="1:47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</row>
    <row r="247" spans="1:47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</row>
    <row r="248" spans="1:47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</row>
    <row r="249" spans="1:47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</row>
    <row r="250" spans="1:47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</row>
    <row r="251" spans="1:47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</row>
    <row r="252" spans="1:47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</row>
    <row r="253" spans="1:47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</row>
    <row r="254" spans="1:47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</row>
    <row r="255" spans="1:47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</row>
    <row r="256" spans="1:47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</row>
    <row r="257" spans="1:47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</row>
    <row r="258" spans="1:47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</row>
    <row r="259" spans="1:47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</row>
    <row r="260" spans="1:47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</row>
    <row r="261" spans="1:47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</row>
    <row r="262" spans="1:47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</row>
    <row r="263" spans="1:47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</row>
    <row r="264" spans="1:47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</row>
    <row r="265" spans="1:47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</row>
    <row r="266" spans="1:47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</row>
    <row r="267" spans="1:47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</row>
    <row r="268" spans="1:47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</row>
    <row r="269" spans="1:47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</row>
    <row r="270" spans="1:47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</row>
    <row r="271" spans="1:47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</row>
    <row r="272" spans="1:47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</row>
    <row r="273" spans="1:47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</row>
    <row r="274" spans="1:47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</row>
    <row r="275" spans="1:47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</row>
    <row r="276" spans="1:47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</row>
    <row r="277" spans="1:47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</row>
    <row r="278" spans="1:47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</row>
    <row r="279" spans="1:47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</row>
    <row r="280" spans="1:47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</row>
    <row r="281" spans="1:47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</row>
    <row r="282" spans="1:47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</row>
    <row r="283" spans="1:47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</row>
    <row r="284" spans="1:47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</row>
    <row r="285" spans="1:47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</row>
    <row r="286" spans="1:47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</row>
    <row r="287" spans="1:47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</row>
    <row r="288" spans="1:47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</row>
    <row r="289" spans="1:47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</row>
    <row r="290" spans="1:47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</row>
    <row r="291" spans="1:47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</row>
    <row r="292" spans="1:47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</row>
    <row r="293" spans="1:47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</row>
    <row r="294" spans="1:47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</row>
    <row r="295" spans="1:47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</row>
    <row r="296" spans="1:47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</row>
    <row r="297" spans="1:47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</row>
    <row r="298" spans="1:47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</row>
    <row r="299" spans="1:47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</row>
    <row r="300" spans="1:47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</row>
    <row r="301" spans="1:47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</row>
    <row r="302" spans="1:47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</row>
    <row r="303" spans="1:47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</row>
    <row r="304" spans="1:47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</row>
    <row r="305" spans="1:47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</row>
    <row r="306" spans="1:47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</row>
    <row r="307" spans="1:47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</row>
    <row r="308" spans="1:47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</row>
    <row r="309" spans="1:47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</row>
    <row r="310" spans="1:47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</row>
    <row r="311" spans="1:47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</row>
    <row r="312" spans="1:47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</row>
    <row r="313" spans="1:47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</row>
    <row r="314" spans="1:47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</row>
    <row r="315" spans="1:47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</row>
    <row r="316" spans="1:47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</row>
    <row r="317" spans="1:47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</row>
    <row r="318" spans="1:47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</row>
    <row r="319" spans="1:47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</row>
    <row r="320" spans="1:47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</row>
    <row r="321" spans="1:47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</row>
    <row r="322" spans="1:47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</row>
    <row r="323" spans="1:47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</row>
    <row r="324" spans="1:47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</row>
    <row r="325" spans="1:47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</row>
    <row r="326" spans="1:47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</row>
    <row r="327" spans="1:47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</row>
    <row r="328" spans="1:47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</row>
    <row r="329" spans="1:47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</row>
    <row r="330" spans="1:47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</row>
    <row r="331" spans="1:47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</row>
    <row r="332" spans="1:47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</row>
    <row r="333" spans="1:47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</row>
    <row r="334" spans="1:47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</row>
    <row r="335" spans="1:47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</row>
    <row r="336" spans="1:47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</row>
    <row r="337" spans="1:47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</row>
    <row r="338" spans="1:47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</row>
    <row r="339" spans="1:47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</row>
    <row r="340" spans="1:47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</row>
    <row r="341" spans="1:47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</row>
    <row r="342" spans="1:47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</row>
    <row r="343" spans="1:47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</row>
    <row r="344" spans="1:47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</row>
    <row r="345" spans="1:47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</row>
    <row r="346" spans="1:47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</row>
    <row r="347" spans="1:47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</row>
    <row r="348" spans="1:47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</row>
    <row r="349" spans="1:47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</row>
    <row r="350" spans="1:47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</row>
    <row r="351" spans="1:47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</row>
    <row r="352" spans="1:47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</row>
    <row r="353" spans="1:47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</row>
    <row r="354" spans="1:47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</row>
    <row r="355" spans="1:47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</row>
    <row r="356" spans="1:47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</row>
    <row r="357" spans="1:47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</row>
    <row r="358" spans="1:47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</row>
    <row r="359" spans="1:47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</row>
    <row r="360" spans="1:47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</row>
    <row r="361" spans="1:47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</row>
    <row r="362" spans="1:47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</row>
    <row r="363" spans="1:47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</row>
    <row r="364" spans="1:47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</row>
    <row r="365" spans="1:47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</row>
    <row r="366" spans="1:47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</row>
    <row r="367" spans="1:47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</row>
    <row r="368" spans="1:47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</row>
    <row r="369" spans="1:47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</row>
    <row r="370" spans="1:47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</row>
    <row r="371" spans="1:47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</row>
    <row r="372" spans="1:47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</row>
    <row r="373" spans="1:47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</row>
    <row r="374" spans="1:47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</row>
    <row r="375" spans="1:47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</row>
    <row r="376" spans="1:47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</row>
    <row r="377" spans="1:47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</row>
    <row r="378" spans="1:47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</row>
    <row r="379" spans="1:47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</row>
    <row r="380" spans="1:47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</row>
    <row r="381" spans="1:47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</row>
    <row r="382" spans="1:47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</row>
    <row r="383" spans="1:47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</row>
    <row r="384" spans="1:47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</row>
    <row r="385" spans="1:47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</row>
    <row r="386" spans="1:47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</row>
    <row r="387" spans="1:47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</row>
    <row r="388" spans="1:47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</row>
    <row r="389" spans="1:47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</row>
    <row r="390" spans="1:47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</row>
    <row r="391" spans="1:47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</row>
    <row r="392" spans="1:47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</row>
    <row r="393" spans="1:47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</row>
    <row r="394" spans="1:47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</row>
    <row r="395" spans="1:47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</row>
    <row r="396" spans="1:47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</row>
    <row r="397" spans="1:47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</row>
    <row r="398" spans="1:47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</row>
    <row r="399" spans="1:47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</row>
    <row r="400" spans="1:47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</row>
    <row r="401" spans="1:47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</row>
    <row r="402" spans="1:47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</row>
    <row r="403" spans="1:47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</row>
    <row r="404" spans="1:47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</row>
    <row r="405" spans="1:47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</row>
    <row r="406" spans="1:47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</row>
    <row r="407" spans="1:47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</row>
    <row r="408" spans="1:47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</row>
    <row r="409" spans="1:47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</row>
    <row r="410" spans="1:47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</row>
    <row r="411" spans="1:47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</row>
    <row r="412" spans="1:47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</row>
    <row r="413" spans="1:47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</row>
    <row r="414" spans="1:47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</row>
    <row r="415" spans="1:47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</row>
    <row r="416" spans="1:47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</row>
    <row r="417" spans="1:47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</row>
    <row r="418" spans="1:47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</row>
    <row r="419" spans="1:47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</row>
    <row r="420" spans="1:47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</row>
    <row r="421" spans="1:47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</row>
    <row r="422" spans="1:47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1:47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</row>
    <row r="424" spans="1:47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</row>
    <row r="425" spans="1:47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</row>
    <row r="426" spans="1:47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</row>
    <row r="427" spans="1:47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</row>
    <row r="428" spans="1:47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</row>
    <row r="429" spans="1:47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</row>
    <row r="430" spans="1:47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</row>
    <row r="431" spans="1:47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</row>
    <row r="432" spans="1:47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</row>
    <row r="433" spans="1:47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</row>
    <row r="434" spans="1:47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</row>
    <row r="435" spans="1:47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</row>
    <row r="436" spans="1:47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</row>
    <row r="437" spans="1:47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</row>
    <row r="438" spans="1:47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</row>
    <row r="439" spans="1:47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</row>
    <row r="440" spans="1:47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</row>
    <row r="441" spans="1:47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</row>
    <row r="442" spans="1:47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</row>
    <row r="443" spans="1:47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</row>
    <row r="444" spans="1:47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</row>
    <row r="445" spans="1:47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</row>
    <row r="446" spans="1:47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</row>
    <row r="447" spans="1:47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</row>
    <row r="448" spans="1:47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</row>
    <row r="449" spans="1:47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</row>
    <row r="450" spans="1:47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</row>
    <row r="451" spans="1:47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</row>
    <row r="452" spans="1:47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</row>
    <row r="453" spans="1:47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</row>
    <row r="454" spans="1:47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</row>
    <row r="455" spans="1:47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</row>
    <row r="456" spans="1:47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</row>
    <row r="457" spans="1:47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</row>
    <row r="458" spans="1:47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</row>
    <row r="459" spans="1:47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</row>
    <row r="460" spans="1:47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</row>
    <row r="461" spans="1:47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</row>
    <row r="462" spans="1:47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</row>
    <row r="463" spans="1:47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</row>
    <row r="464" spans="1:47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</row>
    <row r="465" spans="1:47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</row>
    <row r="466" spans="1:47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</row>
    <row r="467" spans="1:47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</row>
    <row r="468" spans="1:47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</row>
    <row r="469" spans="1:47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</row>
    <row r="470" spans="1:47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</row>
    <row r="471" spans="1:47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</row>
    <row r="472" spans="1:47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</row>
    <row r="473" spans="1:47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</row>
    <row r="474" spans="1:47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</row>
    <row r="475" spans="1:47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</row>
    <row r="476" spans="1:47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</row>
    <row r="477" spans="1:47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</row>
    <row r="478" spans="1:47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</row>
    <row r="479" spans="1:47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</row>
    <row r="480" spans="1:47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</row>
    <row r="481" spans="1:47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</row>
    <row r="482" spans="1:47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</row>
    <row r="483" spans="1:47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</row>
    <row r="484" spans="1:47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</row>
    <row r="485" spans="1:47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</row>
    <row r="486" spans="1:47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</row>
    <row r="487" spans="1:47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</row>
    <row r="488" spans="1:47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</row>
    <row r="489" spans="1:47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</row>
    <row r="490" spans="1:47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</row>
    <row r="491" spans="1:47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</row>
    <row r="492" spans="1:47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</row>
    <row r="493" spans="1:47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</row>
    <row r="494" spans="1:47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</row>
    <row r="495" spans="1:47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</row>
    <row r="496" spans="1:47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</row>
    <row r="497" spans="1:47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</row>
    <row r="498" spans="1:47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</row>
    <row r="499" spans="1:47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</row>
    <row r="500" spans="1:47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</row>
    <row r="501" spans="1:47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</row>
    <row r="502" spans="1:47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</row>
    <row r="503" spans="1:47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</row>
    <row r="504" spans="1:47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</row>
    <row r="505" spans="1:47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</row>
    <row r="506" spans="1:47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</row>
    <row r="507" spans="1:47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</row>
    <row r="508" spans="1:47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</row>
    <row r="509" spans="1:47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</row>
    <row r="510" spans="1:47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</row>
    <row r="511" spans="1:47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</row>
    <row r="512" spans="1:47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</row>
    <row r="513" spans="1:47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</row>
    <row r="514" spans="1:47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</row>
    <row r="515" spans="1:47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</row>
    <row r="516" spans="1:47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</row>
    <row r="517" spans="1:47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</row>
    <row r="518" spans="1:47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</row>
    <row r="519" spans="1:47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</row>
    <row r="520" spans="1:47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</row>
    <row r="521" spans="1:47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</row>
    <row r="522" spans="1:47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</row>
    <row r="523" spans="1:47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</row>
    <row r="524" spans="1:47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</row>
    <row r="525" spans="1:47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</row>
    <row r="526" spans="1:47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</row>
    <row r="527" spans="1:47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</row>
    <row r="528" spans="1:47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</row>
    <row r="529" spans="1:47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</row>
    <row r="530" spans="1:47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</row>
    <row r="531" spans="1:47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</row>
    <row r="532" spans="1:47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</row>
    <row r="533" spans="1:47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</row>
    <row r="534" spans="1:47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</row>
    <row r="535" spans="1:47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</row>
    <row r="536" spans="1:47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</row>
    <row r="537" spans="1:47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</row>
    <row r="538" spans="1:47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</row>
    <row r="539" spans="1:47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</row>
    <row r="540" spans="1:47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</row>
    <row r="541" spans="1:47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</row>
    <row r="542" spans="1:47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</row>
    <row r="543" spans="1:47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</row>
    <row r="544" spans="1:47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</row>
    <row r="545" spans="1:47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</row>
    <row r="546" spans="1:47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</row>
    <row r="547" spans="1:47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</row>
    <row r="548" spans="1:47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</row>
    <row r="549" spans="1:47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</row>
    <row r="550" spans="1:47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</row>
    <row r="551" spans="1:47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</row>
    <row r="552" spans="1:47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</row>
    <row r="553" spans="1:47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</row>
    <row r="554" spans="1:47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</row>
    <row r="555" spans="1:47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</row>
    <row r="556" spans="1:47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</row>
    <row r="557" spans="1:47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</row>
    <row r="558" spans="1:47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</row>
    <row r="559" spans="1:47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</row>
    <row r="560" spans="1:47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</row>
    <row r="561" spans="1:47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</row>
    <row r="562" spans="1:47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</row>
    <row r="563" spans="1:47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</row>
    <row r="564" spans="1:47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</row>
    <row r="565" spans="1:47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</row>
    <row r="566" spans="1:47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</row>
    <row r="567" spans="1:47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</row>
    <row r="568" spans="1:47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</row>
    <row r="569" spans="1:47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</row>
    <row r="570" spans="1:47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</row>
    <row r="571" spans="1:47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</row>
    <row r="572" spans="1:47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</row>
    <row r="573" spans="1:47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</row>
    <row r="574" spans="1:47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</row>
    <row r="575" spans="1:47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</row>
    <row r="576" spans="1:47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</row>
    <row r="577" spans="1:47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</row>
    <row r="578" spans="1:47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</row>
    <row r="579" spans="1:47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</row>
    <row r="580" spans="1:47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</row>
    <row r="581" spans="1:47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</row>
    <row r="582" spans="1:47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</row>
    <row r="583" spans="1:47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</row>
    <row r="584" spans="1:47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</row>
    <row r="585" spans="1:47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</row>
    <row r="586" spans="1:47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</row>
    <row r="587" spans="1:47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</row>
    <row r="588" spans="1:47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</row>
    <row r="589" spans="1:47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</row>
    <row r="590" spans="1:47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</row>
    <row r="591" spans="1:47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</row>
    <row r="592" spans="1:47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</row>
    <row r="593" spans="1:47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</row>
    <row r="594" spans="1:47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</row>
    <row r="595" spans="1:47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</row>
    <row r="596" spans="1:47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</row>
    <row r="597" spans="1:47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</row>
    <row r="598" spans="1:47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</row>
    <row r="599" spans="1:47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</row>
    <row r="600" spans="1:47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</row>
    <row r="601" spans="1:47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</row>
    <row r="602" spans="1:47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</row>
    <row r="603" spans="1:47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</row>
    <row r="604" spans="1:47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</row>
    <row r="605" spans="1:47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</row>
    <row r="606" spans="1:47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</row>
    <row r="607" spans="1:47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</row>
    <row r="608" spans="1:47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</row>
    <row r="609" spans="1:47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</row>
    <row r="610" spans="1:47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</row>
    <row r="611" spans="1:47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</row>
    <row r="612" spans="1:47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</row>
    <row r="613" spans="1:47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</row>
    <row r="614" spans="1:47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</row>
    <row r="615" spans="1:47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</row>
    <row r="616" spans="1:47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</row>
    <row r="617" spans="1:47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</row>
    <row r="618" spans="1:47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</row>
    <row r="619" spans="1:47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</row>
    <row r="620" spans="1:47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</row>
    <row r="621" spans="1:47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</row>
    <row r="622" spans="1:47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</row>
    <row r="623" spans="1:47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</row>
    <row r="624" spans="1:47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</row>
    <row r="625" spans="1:47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</row>
    <row r="626" spans="1:47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</row>
    <row r="627" spans="1:47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</row>
    <row r="628" spans="1:47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</row>
    <row r="629" spans="1:47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</row>
    <row r="630" spans="1:47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</row>
    <row r="631" spans="1:47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</row>
    <row r="632" spans="1:47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</row>
    <row r="633" spans="1:47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</row>
    <row r="634" spans="1:47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</row>
    <row r="635" spans="1:47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</row>
    <row r="636" spans="1:47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</row>
    <row r="637" spans="1:47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</row>
    <row r="638" spans="1:47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</row>
    <row r="639" spans="1:47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</row>
    <row r="640" spans="1:47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</row>
    <row r="641" spans="1:47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</row>
    <row r="642" spans="1:47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</row>
    <row r="643" spans="1:47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</row>
    <row r="644" spans="1:47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</row>
    <row r="645" spans="1:47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</row>
    <row r="646" spans="1:47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</row>
    <row r="647" spans="1:47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</row>
    <row r="648" spans="1:47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</row>
    <row r="649" spans="1:47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</row>
    <row r="650" spans="1:47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</row>
    <row r="651" spans="1:47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</row>
    <row r="652" spans="1:47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</row>
    <row r="653" spans="1:47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</row>
    <row r="654" spans="1:47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</row>
    <row r="655" spans="1:47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</row>
    <row r="656" spans="1:47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</row>
    <row r="657" spans="1:47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</row>
    <row r="658" spans="1:47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</row>
    <row r="659" spans="1:47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</row>
    <row r="660" spans="1:47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</row>
    <row r="661" spans="1:47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</row>
    <row r="662" spans="1:47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</row>
    <row r="663" spans="1:47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</row>
    <row r="664" spans="1:47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</row>
    <row r="665" spans="1:47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</row>
    <row r="666" spans="1:47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</row>
    <row r="667" spans="1:47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</row>
    <row r="668" spans="1:47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</row>
    <row r="669" spans="1:47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</row>
    <row r="670" spans="1:47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</row>
    <row r="671" spans="1:47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</row>
    <row r="672" spans="1:47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</row>
    <row r="673" spans="1:47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</row>
    <row r="674" spans="1:47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</row>
    <row r="675" spans="1:47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</row>
    <row r="676" spans="1:47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</row>
    <row r="677" spans="1:47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</row>
    <row r="678" spans="1:47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</row>
    <row r="679" spans="1:47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</row>
    <row r="680" spans="1:47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</row>
    <row r="681" spans="1:47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</row>
    <row r="682" spans="1:47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</row>
    <row r="683" spans="1:47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</row>
    <row r="684" spans="1:47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</row>
    <row r="685" spans="1:47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</row>
    <row r="686" spans="1:47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</row>
    <row r="687" spans="1:47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</row>
    <row r="688" spans="1:47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</row>
    <row r="689" spans="1:47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</row>
    <row r="690" spans="1:47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</row>
    <row r="691" spans="1:47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</row>
    <row r="692" spans="1:47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</row>
    <row r="693" spans="1:47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</row>
    <row r="694" spans="1:47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</row>
    <row r="695" spans="1:47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</row>
    <row r="696" spans="1:47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</row>
    <row r="697" spans="1:47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</row>
    <row r="698" spans="1:47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</row>
    <row r="699" spans="1:47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</row>
    <row r="700" spans="1:47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</row>
    <row r="701" spans="1:47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</row>
    <row r="702" spans="1:47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</row>
    <row r="703" spans="1:47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</row>
    <row r="704" spans="1:47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</row>
    <row r="705" spans="1:47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</row>
    <row r="706" spans="1:47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</row>
    <row r="707" spans="1:47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</row>
    <row r="708" spans="1:47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</row>
    <row r="709" spans="1:47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</row>
    <row r="710" spans="1:47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</row>
    <row r="711" spans="1:47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</row>
    <row r="712" spans="1:47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</row>
    <row r="713" spans="1:47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</row>
    <row r="714" spans="1:47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</row>
    <row r="715" spans="1:47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</row>
    <row r="716" spans="1:47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</row>
    <row r="717" spans="1:47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</row>
    <row r="718" spans="1:47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</row>
    <row r="719" spans="1:47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</row>
    <row r="720" spans="1:47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</row>
    <row r="721" spans="1:47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</row>
    <row r="722" spans="1:47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</row>
    <row r="723" spans="1:47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</row>
    <row r="724" spans="1:47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</row>
    <row r="725" spans="1:47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</row>
    <row r="726" spans="1:47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</row>
    <row r="727" spans="1:47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</row>
    <row r="728" spans="1:47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</row>
    <row r="729" spans="1:47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</row>
    <row r="730" spans="1:47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</row>
    <row r="731" spans="1:47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</row>
    <row r="732" spans="1:47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</row>
    <row r="733" spans="1:47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</row>
    <row r="734" spans="1:47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</row>
    <row r="735" spans="1:47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</row>
    <row r="736" spans="1:47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</row>
    <row r="737" spans="1:47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</row>
    <row r="738" spans="1:47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</row>
    <row r="739" spans="1:47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</row>
    <row r="740" spans="1:47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</row>
    <row r="741" spans="1:47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</row>
    <row r="742" spans="1:47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</row>
    <row r="743" spans="1:47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</row>
    <row r="744" spans="1:47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</row>
    <row r="745" spans="1:47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</row>
    <row r="746" spans="1:47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</row>
    <row r="747" spans="1:47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</row>
    <row r="748" spans="1:47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</row>
    <row r="749" spans="1:47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</row>
    <row r="750" spans="1:47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</row>
    <row r="751" spans="1:47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</row>
    <row r="752" spans="1:47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</row>
    <row r="753" spans="1:47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</row>
    <row r="754" spans="1:47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</row>
    <row r="755" spans="1:47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</row>
    <row r="756" spans="1:47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</row>
    <row r="757" spans="1:47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</row>
    <row r="758" spans="1:47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</row>
    <row r="759" spans="1:47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</row>
    <row r="760" spans="1:47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</row>
    <row r="761" spans="1:47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</row>
    <row r="762" spans="1:47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</row>
    <row r="763" spans="1:47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</row>
    <row r="764" spans="1:47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</row>
    <row r="765" spans="1:47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</row>
    <row r="766" spans="1:47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</row>
    <row r="767" spans="1:47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</row>
    <row r="768" spans="1:47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</row>
    <row r="769" spans="1:47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</row>
    <row r="770" spans="1:47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</row>
    <row r="771" spans="1:47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</row>
    <row r="772" spans="1:47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</row>
    <row r="773" spans="1:47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</row>
    <row r="774" spans="1:47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</row>
    <row r="775" spans="1:47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</row>
    <row r="776" spans="1:47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</row>
    <row r="777" spans="1:47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</row>
    <row r="778" spans="1:47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</row>
    <row r="779" spans="1:47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</row>
    <row r="780" spans="1:47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</row>
    <row r="781" spans="1:47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</row>
    <row r="782" spans="1:47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</row>
    <row r="783" spans="1:47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</row>
    <row r="784" spans="1:47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</row>
    <row r="785" spans="1:47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</row>
    <row r="786" spans="1:47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</row>
    <row r="787" spans="1:47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</row>
    <row r="788" spans="1:47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</row>
    <row r="789" spans="1:47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</row>
    <row r="790" spans="1:47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</row>
    <row r="791" spans="1:47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</row>
    <row r="792" spans="1:47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</row>
    <row r="793" spans="1:47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</row>
    <row r="794" spans="1:47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</row>
    <row r="795" spans="1:47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</row>
    <row r="796" spans="1:47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</row>
    <row r="797" spans="1:47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</row>
    <row r="798" spans="1:47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</row>
    <row r="799" spans="1:47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</row>
    <row r="800" spans="1:47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</row>
    <row r="801" spans="1:47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</row>
    <row r="802" spans="1:47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</row>
    <row r="803" spans="1:47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</row>
    <row r="804" spans="1:47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</row>
    <row r="805" spans="1:47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</row>
    <row r="806" spans="1:47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</row>
    <row r="807" spans="1:47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</row>
    <row r="808" spans="1:47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</row>
    <row r="809" spans="1:47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</row>
    <row r="810" spans="1:47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</row>
    <row r="811" spans="1:47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</row>
    <row r="812" spans="1:47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</row>
    <row r="813" spans="1:47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</row>
    <row r="814" spans="1:47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</row>
    <row r="815" spans="1:47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</row>
    <row r="816" spans="1:47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</row>
    <row r="817" spans="1:47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</row>
    <row r="818" spans="1:47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</row>
    <row r="819" spans="1:47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</row>
    <row r="820" spans="1:47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</row>
    <row r="821" spans="1:47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</row>
    <row r="822" spans="1:47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</row>
    <row r="823" spans="1:47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</row>
    <row r="824" spans="1:47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</row>
    <row r="825" spans="1:47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</row>
    <row r="826" spans="1:47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</row>
    <row r="827" spans="1:47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</row>
    <row r="828" spans="1:47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</row>
    <row r="829" spans="1:47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</row>
    <row r="830" spans="1:47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</row>
    <row r="831" spans="1:47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</row>
    <row r="832" spans="1:47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</row>
    <row r="833" spans="1:47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</row>
    <row r="834" spans="1:47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</row>
    <row r="835" spans="1:47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</row>
    <row r="836" spans="1:47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</row>
    <row r="837" spans="1:47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</row>
    <row r="838" spans="1:47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</row>
    <row r="839" spans="1:47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</row>
    <row r="840" spans="1:47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</row>
    <row r="841" spans="1:47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</row>
    <row r="842" spans="1:47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</row>
    <row r="843" spans="1:47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</row>
    <row r="844" spans="1:47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</row>
    <row r="845" spans="1:47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</row>
    <row r="846" spans="1:47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</row>
    <row r="847" spans="1:47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</row>
    <row r="848" spans="1:47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</row>
    <row r="849" spans="1:47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</row>
    <row r="850" spans="1:47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</row>
    <row r="851" spans="1:47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</row>
    <row r="852" spans="1:47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</row>
    <row r="853" spans="1:47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</row>
    <row r="854" spans="1:47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</row>
    <row r="855" spans="1:47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</row>
    <row r="856" spans="1:47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</row>
    <row r="857" spans="1:47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</row>
    <row r="858" spans="1:47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</row>
    <row r="859" spans="1:47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</row>
    <row r="860" spans="1:47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</row>
    <row r="861" spans="1:47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</row>
    <row r="862" spans="1:47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</row>
    <row r="863" spans="1:47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</row>
    <row r="864" spans="1:47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</row>
    <row r="865" spans="1:47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</row>
    <row r="866" spans="1:47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</row>
    <row r="867" spans="1:47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</row>
    <row r="868" spans="1:47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</row>
    <row r="869" spans="1:47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</row>
    <row r="870" spans="1:47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</row>
    <row r="871" spans="1:47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</row>
    <row r="872" spans="1:47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</row>
    <row r="873" spans="1:47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</row>
    <row r="874" spans="1:47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</row>
    <row r="875" spans="1:47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</row>
    <row r="876" spans="1:47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</row>
    <row r="877" spans="1:47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</row>
    <row r="878" spans="1:47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</row>
    <row r="879" spans="1:47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</row>
    <row r="880" spans="1:47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</row>
    <row r="881" spans="1:47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</row>
    <row r="882" spans="1:47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</row>
    <row r="883" spans="1:47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</row>
    <row r="884" spans="1:47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</row>
    <row r="885" spans="1:47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</row>
    <row r="886" spans="1:47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</row>
    <row r="887" spans="1:47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</row>
    <row r="888" spans="1:47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</row>
    <row r="889" spans="1:47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</row>
    <row r="890" spans="1:47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</row>
    <row r="891" spans="1:47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</row>
    <row r="892" spans="1:47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</row>
    <row r="893" spans="1:47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</row>
    <row r="894" spans="1:47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</row>
    <row r="895" spans="1:47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</row>
    <row r="896" spans="1:47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</row>
    <row r="897" spans="1:47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</row>
    <row r="898" spans="1:47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</row>
    <row r="899" spans="1:47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</row>
    <row r="900" spans="1:47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</row>
    <row r="901" spans="1:47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</row>
    <row r="902" spans="1:47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</row>
    <row r="903" spans="1:47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</row>
    <row r="904" spans="1:47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</row>
    <row r="905" spans="1:47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</row>
    <row r="906" spans="1:47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</row>
    <row r="907" spans="1:47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</row>
    <row r="908" spans="1:47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</row>
    <row r="909" spans="1:47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</row>
    <row r="910" spans="1:47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</row>
    <row r="911" spans="1:47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</row>
    <row r="912" spans="1:47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</row>
    <row r="913" spans="1:47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</row>
    <row r="914" spans="1:47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</row>
    <row r="915" spans="1:47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</row>
    <row r="916" spans="1:47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</row>
    <row r="917" spans="1:47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</row>
    <row r="918" spans="1:47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</row>
    <row r="919" spans="1:47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</row>
    <row r="920" spans="1:47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</row>
    <row r="921" spans="1:47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</row>
    <row r="922" spans="1:47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</row>
    <row r="923" spans="1:47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</row>
    <row r="924" spans="1:47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</row>
    <row r="925" spans="1:47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</row>
    <row r="926" spans="1:47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</row>
    <row r="927" spans="1:47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</row>
    <row r="928" spans="1:47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</row>
    <row r="929" spans="1:47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</row>
    <row r="930" spans="1:47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</row>
    <row r="931" spans="1:47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</row>
    <row r="932" spans="1:47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</row>
    <row r="933" spans="1:47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</row>
    <row r="934" spans="1:47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</row>
    <row r="935" spans="1:47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</row>
    <row r="936" spans="1:47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</row>
    <row r="937" spans="1:47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</row>
    <row r="938" spans="1:47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</row>
    <row r="939" spans="1:47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</row>
    <row r="940" spans="1:47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</row>
    <row r="941" spans="1:47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</row>
    <row r="942" spans="1:47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</row>
    <row r="943" spans="1:47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</row>
    <row r="944" spans="1:47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</row>
    <row r="945" spans="1:47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</row>
    <row r="946" spans="1:47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</row>
    <row r="947" spans="1:47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</row>
    <row r="948" spans="1:47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</row>
    <row r="949" spans="1:47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</row>
    <row r="950" spans="1:47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</row>
    <row r="951" spans="1:47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109"/>
      <c r="AS951" s="109"/>
      <c r="AT951" s="109"/>
      <c r="AU951" s="109"/>
    </row>
    <row r="952" spans="1:47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</row>
    <row r="953" spans="1:47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</row>
    <row r="954" spans="1:47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</row>
    <row r="955" spans="1:47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</row>
    <row r="956" spans="1:47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</row>
    <row r="957" spans="1:47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</row>
    <row r="958" spans="1:47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</row>
    <row r="959" spans="1:47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</row>
    <row r="960" spans="1:47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</row>
    <row r="961" spans="1:47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</row>
    <row r="962" spans="1:47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</row>
    <row r="963" spans="1:47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</row>
    <row r="964" spans="1:47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</row>
    <row r="965" spans="1:47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</row>
    <row r="966" spans="1:47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</row>
    <row r="967" spans="1:47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</row>
    <row r="968" spans="1:47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</row>
    <row r="969" spans="1:47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109"/>
      <c r="AS969" s="109"/>
      <c r="AT969" s="109"/>
      <c r="AU969" s="109"/>
    </row>
    <row r="970" spans="1:47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</row>
    <row r="971" spans="1:47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</row>
    <row r="972" spans="1:47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</row>
    <row r="973" spans="1:47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</row>
    <row r="974" spans="1:47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</row>
    <row r="975" spans="1:47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109"/>
      <c r="AS975" s="109"/>
      <c r="AT975" s="109"/>
      <c r="AU975" s="109"/>
    </row>
    <row r="976" spans="1:47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</row>
    <row r="977" spans="1:47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</row>
    <row r="978" spans="1:47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</row>
    <row r="979" spans="1:47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</row>
    <row r="980" spans="1:47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</row>
    <row r="981" spans="1:47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</row>
    <row r="982" spans="1:47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</row>
    <row r="983" spans="1:47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</row>
    <row r="984" spans="1:47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</row>
    <row r="985" spans="1:47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</row>
    <row r="986" spans="1:47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</row>
    <row r="987" spans="1:47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</row>
    <row r="988" spans="1:47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</row>
    <row r="989" spans="1:47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</row>
    <row r="990" spans="1:47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</row>
  </sheetData>
  <mergeCells count="49">
    <mergeCell ref="V1:AR1"/>
    <mergeCell ref="X2:X3"/>
    <mergeCell ref="AR2:AR3"/>
    <mergeCell ref="AI2:AI3"/>
    <mergeCell ref="AD2:AD3"/>
    <mergeCell ref="Y2:Y3"/>
    <mergeCell ref="AB2:AB3"/>
    <mergeCell ref="AH2:AH3"/>
    <mergeCell ref="AJ2:AJ3"/>
    <mergeCell ref="AG2:AG3"/>
    <mergeCell ref="AE2:AE3"/>
    <mergeCell ref="W2:W3"/>
    <mergeCell ref="M2:M3"/>
    <mergeCell ref="T2:T3"/>
    <mergeCell ref="U2:U3"/>
    <mergeCell ref="AU1:AU3"/>
    <mergeCell ref="AT2:AT3"/>
    <mergeCell ref="AS2:AS3"/>
    <mergeCell ref="Z2:Z3"/>
    <mergeCell ref="AA2:AA3"/>
    <mergeCell ref="AK2:AK3"/>
    <mergeCell ref="AL2:AL3"/>
    <mergeCell ref="AN2:AN3"/>
    <mergeCell ref="AO2:AO3"/>
    <mergeCell ref="AQ2:AQ3"/>
    <mergeCell ref="AP2:AP3"/>
    <mergeCell ref="AM2:AM3"/>
    <mergeCell ref="AF2:AF3"/>
    <mergeCell ref="R2:S2"/>
    <mergeCell ref="Q2:Q3"/>
    <mergeCell ref="N2:N3"/>
    <mergeCell ref="O2:O3"/>
    <mergeCell ref="P2:P3"/>
    <mergeCell ref="G30:I30"/>
    <mergeCell ref="G2:G3"/>
    <mergeCell ref="A1:A3"/>
    <mergeCell ref="B1:B3"/>
    <mergeCell ref="AC2:AC3"/>
    <mergeCell ref="E2:E3"/>
    <mergeCell ref="J2:J3"/>
    <mergeCell ref="D2:D3"/>
    <mergeCell ref="K2:K3"/>
    <mergeCell ref="C1:S1"/>
    <mergeCell ref="H2:H3"/>
    <mergeCell ref="I2:I3"/>
    <mergeCell ref="C2:C3"/>
    <mergeCell ref="F2:F3"/>
    <mergeCell ref="L2:L3"/>
    <mergeCell ref="V2:V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4A86E8"/>
  </sheetPr>
  <dimension ref="A1:AU990"/>
  <sheetViews>
    <sheetView topLeftCell="A16" workbookViewId="0">
      <selection activeCell="D37" sqref="D37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4" width="10.83203125" customWidth="1"/>
    <col min="5" max="5" width="8.83203125" customWidth="1"/>
    <col min="6" max="6" width="9.58203125" customWidth="1"/>
    <col min="7" max="7" width="14.5" customWidth="1"/>
    <col min="8" max="8" width="12.83203125" customWidth="1"/>
    <col min="9" max="9" width="9.75" customWidth="1"/>
    <col min="10" max="10" width="7.58203125" customWidth="1"/>
    <col min="11" max="11" width="10.08203125" customWidth="1"/>
    <col min="12" max="12" width="14" customWidth="1"/>
    <col min="13" max="13" width="7.58203125" customWidth="1"/>
    <col min="14" max="14" width="12.08203125" customWidth="1"/>
    <col min="15" max="15" width="7.58203125" customWidth="1"/>
    <col min="16" max="16" width="10.33203125" customWidth="1"/>
    <col min="17" max="17" width="12.58203125" customWidth="1"/>
    <col min="18" max="18" width="10.83203125" customWidth="1"/>
    <col min="19" max="19" width="7.58203125" customWidth="1"/>
    <col min="20" max="20" width="9.08203125" customWidth="1"/>
    <col min="21" max="21" width="13.58203125" customWidth="1"/>
    <col min="22" max="22" width="12.5" customWidth="1"/>
    <col min="23" max="23" width="11.08203125" customWidth="1"/>
    <col min="24" max="24" width="10.58203125" customWidth="1"/>
    <col min="25" max="25" width="10.75" customWidth="1"/>
    <col min="26" max="26" width="12.08203125" customWidth="1"/>
    <col min="27" max="27" width="13.5" customWidth="1"/>
    <col min="28" max="28" width="9.08203125" customWidth="1"/>
    <col min="29" max="29" width="7.58203125" customWidth="1"/>
    <col min="30" max="30" width="9.5" customWidth="1"/>
    <col min="31" max="31" width="12.33203125" customWidth="1"/>
    <col min="32" max="32" width="18.75" customWidth="1"/>
    <col min="33" max="33" width="10.33203125" customWidth="1"/>
    <col min="34" max="34" width="7.58203125" customWidth="1"/>
    <col min="35" max="35" width="8.83203125" customWidth="1"/>
    <col min="36" max="36" width="13.25" customWidth="1"/>
    <col min="37" max="37" width="10.75" customWidth="1"/>
    <col min="38" max="38" width="11.75" customWidth="1"/>
    <col min="39" max="39" width="7.58203125" customWidth="1"/>
    <col min="40" max="40" width="10.33203125" customWidth="1"/>
    <col min="41" max="41" width="12.25" customWidth="1"/>
    <col min="42" max="42" width="21.33203125" customWidth="1"/>
    <col min="43" max="43" width="9.75" customWidth="1"/>
    <col min="44" max="44" width="7.58203125" customWidth="1"/>
    <col min="45" max="45" width="9.75" customWidth="1"/>
    <col min="46" max="46" width="12.83203125" customWidth="1"/>
    <col min="47" max="47" width="16.58203125" customWidth="1"/>
  </cols>
  <sheetData>
    <row r="1" spans="1:47" ht="14.25" customHeight="1" x14ac:dyDescent="0.3">
      <c r="A1" s="395" t="s">
        <v>0</v>
      </c>
      <c r="B1" s="396" t="s">
        <v>104</v>
      </c>
      <c r="C1" s="398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  <c r="T1" s="122"/>
      <c r="U1" s="122"/>
      <c r="V1" s="402" t="s">
        <v>4</v>
      </c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123"/>
      <c r="AT1" s="123"/>
      <c r="AU1" s="401" t="s">
        <v>5</v>
      </c>
    </row>
    <row r="2" spans="1:47" ht="14.25" customHeight="1" x14ac:dyDescent="0.3">
      <c r="A2" s="389"/>
      <c r="B2" s="353"/>
      <c r="C2" s="397" t="s">
        <v>6</v>
      </c>
      <c r="D2" s="397" t="s">
        <v>7</v>
      </c>
      <c r="E2" s="397" t="s">
        <v>8</v>
      </c>
      <c r="F2" s="397" t="s">
        <v>85</v>
      </c>
      <c r="G2" s="397" t="s">
        <v>86</v>
      </c>
      <c r="H2" s="397" t="s">
        <v>9</v>
      </c>
      <c r="I2" s="397" t="s">
        <v>7</v>
      </c>
      <c r="J2" s="397" t="s">
        <v>8</v>
      </c>
      <c r="K2" s="397" t="s">
        <v>85</v>
      </c>
      <c r="L2" s="397" t="s">
        <v>86</v>
      </c>
      <c r="M2" s="397" t="s">
        <v>105</v>
      </c>
      <c r="N2" s="397" t="s">
        <v>7</v>
      </c>
      <c r="O2" s="397" t="s">
        <v>8</v>
      </c>
      <c r="P2" s="397" t="s">
        <v>85</v>
      </c>
      <c r="Q2" s="397" t="s">
        <v>86</v>
      </c>
      <c r="R2" s="399" t="s">
        <v>11</v>
      </c>
      <c r="S2" s="372"/>
      <c r="T2" s="397" t="s">
        <v>85</v>
      </c>
      <c r="U2" s="397" t="s">
        <v>86</v>
      </c>
      <c r="V2" s="400" t="s">
        <v>12</v>
      </c>
      <c r="W2" s="400" t="s">
        <v>7</v>
      </c>
      <c r="X2" s="400" t="s">
        <v>8</v>
      </c>
      <c r="Y2" s="400" t="s">
        <v>85</v>
      </c>
      <c r="Z2" s="400" t="s">
        <v>131</v>
      </c>
      <c r="AA2" s="400" t="s">
        <v>13</v>
      </c>
      <c r="AB2" s="400" t="s">
        <v>7</v>
      </c>
      <c r="AC2" s="400" t="s">
        <v>8</v>
      </c>
      <c r="AD2" s="400" t="s">
        <v>85</v>
      </c>
      <c r="AE2" s="400" t="s">
        <v>131</v>
      </c>
      <c r="AF2" s="400" t="s">
        <v>14</v>
      </c>
      <c r="AG2" s="400" t="s">
        <v>7</v>
      </c>
      <c r="AH2" s="400" t="s">
        <v>8</v>
      </c>
      <c r="AI2" s="400" t="s">
        <v>85</v>
      </c>
      <c r="AJ2" s="400" t="s">
        <v>131</v>
      </c>
      <c r="AK2" s="400" t="s">
        <v>15</v>
      </c>
      <c r="AL2" s="400" t="s">
        <v>7</v>
      </c>
      <c r="AM2" s="400" t="s">
        <v>8</v>
      </c>
      <c r="AN2" s="400" t="s">
        <v>85</v>
      </c>
      <c r="AO2" s="400" t="s">
        <v>131</v>
      </c>
      <c r="AP2" s="400" t="s">
        <v>16</v>
      </c>
      <c r="AQ2" s="400" t="s">
        <v>7</v>
      </c>
      <c r="AR2" s="400" t="s">
        <v>8</v>
      </c>
      <c r="AS2" s="400" t="s">
        <v>85</v>
      </c>
      <c r="AT2" s="400" t="s">
        <v>131</v>
      </c>
      <c r="AU2" s="353"/>
    </row>
    <row r="3" spans="1:47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124" t="s">
        <v>17</v>
      </c>
      <c r="S3" s="124" t="s">
        <v>8</v>
      </c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</row>
    <row r="4" spans="1:47" ht="14.25" customHeight="1" x14ac:dyDescent="0.3">
      <c r="A4" s="76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97"/>
      <c r="L4" s="97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97"/>
      <c r="AE4" s="97"/>
      <c r="AF4" s="78"/>
      <c r="AG4" s="78"/>
      <c r="AH4" s="78"/>
      <c r="AI4" s="78"/>
      <c r="AJ4" s="78"/>
      <c r="AK4" s="78"/>
      <c r="AL4" s="78"/>
      <c r="AM4" s="78"/>
      <c r="AN4" s="97"/>
      <c r="AO4" s="97"/>
      <c r="AP4" s="78"/>
      <c r="AQ4" s="78"/>
      <c r="AR4" s="78"/>
      <c r="AS4" s="97"/>
      <c r="AT4" s="97"/>
      <c r="AU4" s="79"/>
    </row>
    <row r="5" spans="1:47" ht="14.25" customHeight="1" x14ac:dyDescent="0.3">
      <c r="A5" s="79"/>
      <c r="B5" s="79" t="s">
        <v>106</v>
      </c>
      <c r="C5" s="80" t="s">
        <v>107</v>
      </c>
      <c r="D5" s="111">
        <f>'UT Unit Fungsi'!D5</f>
        <v>1.095049968418018E-4</v>
      </c>
      <c r="E5" s="188" t="s">
        <v>199</v>
      </c>
      <c r="F5" s="111">
        <f>CF!I4</f>
        <v>5.3700000000000004E-5</v>
      </c>
      <c r="G5" s="111">
        <f t="shared" ref="G5:G7" si="0">D5*F5</f>
        <v>5.8804183304047569E-9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14.25" customHeight="1" x14ac:dyDescent="0.3">
      <c r="A6" s="79"/>
      <c r="B6" s="79" t="s">
        <v>108</v>
      </c>
      <c r="C6" s="80" t="s">
        <v>109</v>
      </c>
      <c r="D6" s="111">
        <f>'UT Unit Fungsi'!D6</f>
        <v>1.9087843472699963E-2</v>
      </c>
      <c r="E6" s="188" t="s">
        <v>209</v>
      </c>
      <c r="F6" s="125">
        <v>0</v>
      </c>
      <c r="G6" s="111">
        <f t="shared" si="0"/>
        <v>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80" t="s">
        <v>111</v>
      </c>
      <c r="AB6" s="111">
        <f>Utilitas!R6/Utilitas!C30</f>
        <v>1.9087843472699963E-2</v>
      </c>
      <c r="AC6" s="188" t="s">
        <v>209</v>
      </c>
      <c r="AD6" s="125">
        <v>0</v>
      </c>
      <c r="AE6" s="111">
        <f>AB6*AD6</f>
        <v>0</v>
      </c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80" t="s">
        <v>112</v>
      </c>
      <c r="AQ6" s="111">
        <f>Utilitas!AA6/Utilitas!C30</f>
        <v>3.8175686945399931E-7</v>
      </c>
      <c r="AR6" s="188" t="s">
        <v>203</v>
      </c>
      <c r="AS6" s="118">
        <f>CF!I24</f>
        <v>1.1900000000000001E-2</v>
      </c>
      <c r="AT6" s="111">
        <f>AQ6*AS6</f>
        <v>4.5429067465025925E-9</v>
      </c>
      <c r="AU6" s="79"/>
    </row>
    <row r="7" spans="1:47" ht="14.25" customHeight="1" x14ac:dyDescent="0.3">
      <c r="A7" s="79"/>
      <c r="B7" s="79"/>
      <c r="C7" s="80" t="s">
        <v>113</v>
      </c>
      <c r="D7" s="111">
        <f>'UT Unit Fungsi'!D7</f>
        <v>3.8175686945399923E-5</v>
      </c>
      <c r="E7" s="188" t="s">
        <v>202</v>
      </c>
      <c r="F7" s="125">
        <v>0</v>
      </c>
      <c r="G7" s="111">
        <f t="shared" si="0"/>
        <v>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12"/>
      <c r="AR7" s="78"/>
      <c r="AS7" s="78"/>
      <c r="AT7" s="78"/>
      <c r="AU7" s="79"/>
    </row>
    <row r="8" spans="1:47" ht="14.25" customHeight="1" x14ac:dyDescent="0.3">
      <c r="A8" s="79"/>
      <c r="B8" s="79" t="s">
        <v>114</v>
      </c>
      <c r="C8" s="78"/>
      <c r="D8" s="85"/>
      <c r="E8" s="85"/>
      <c r="F8" s="85"/>
      <c r="G8" s="85"/>
      <c r="H8" s="80" t="s">
        <v>22</v>
      </c>
      <c r="I8" s="111">
        <f>'UT Unit Fungsi'!G8</f>
        <v>6.6825250072615507E-3</v>
      </c>
      <c r="J8" s="188" t="s">
        <v>203</v>
      </c>
      <c r="K8" s="111">
        <f>CF!I7</f>
        <v>6.3500000000000004E-4</v>
      </c>
      <c r="L8" s="111">
        <f>I8*K8</f>
        <v>4.2434033796110847E-6</v>
      </c>
      <c r="M8" s="78"/>
      <c r="N8" s="78"/>
      <c r="O8" s="78"/>
      <c r="P8" s="78"/>
      <c r="Q8" s="78"/>
      <c r="R8" s="78"/>
      <c r="S8" s="78"/>
      <c r="T8" s="78"/>
      <c r="U8" s="78"/>
      <c r="V8" s="87" t="s">
        <v>24</v>
      </c>
      <c r="W8" s="111">
        <f>Utilitas!O8/Utilitas!C30</f>
        <v>3.4084522550674235E-8</v>
      </c>
      <c r="X8" s="20" t="s">
        <v>205</v>
      </c>
      <c r="Y8" s="126">
        <f>CF!I21</f>
        <v>2.7099999999999997E-4</v>
      </c>
      <c r="Z8" s="126">
        <f t="shared" ref="Z8:Z10" si="1">W8*Y8</f>
        <v>9.236905611232716E-12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12"/>
      <c r="AR8" s="78"/>
      <c r="AS8" s="78"/>
      <c r="AT8" s="78"/>
      <c r="AU8" s="79"/>
    </row>
    <row r="9" spans="1:47" ht="14.25" customHeight="1" x14ac:dyDescent="0.3">
      <c r="A9" s="76"/>
      <c r="B9" s="79"/>
      <c r="C9" s="78"/>
      <c r="D9" s="85"/>
      <c r="E9" s="85"/>
      <c r="F9" s="85"/>
      <c r="G9" s="85"/>
      <c r="H9" s="78"/>
      <c r="I9" s="85"/>
      <c r="J9" s="85"/>
      <c r="K9" s="85"/>
      <c r="L9" s="85"/>
      <c r="M9" s="78"/>
      <c r="N9" s="89"/>
      <c r="O9" s="78"/>
      <c r="P9" s="78"/>
      <c r="Q9" s="78"/>
      <c r="R9" s="78"/>
      <c r="S9" s="78"/>
      <c r="T9" s="78"/>
      <c r="U9" s="78"/>
      <c r="V9" s="87" t="s">
        <v>29</v>
      </c>
      <c r="W9" s="111">
        <f>Utilitas!O9/Utilitas!C30</f>
        <v>5.1831000461322046E-7</v>
      </c>
      <c r="X9" s="18" t="s">
        <v>206</v>
      </c>
      <c r="Y9" s="127">
        <f>CF!I22</f>
        <v>2.2200000000000002E-3</v>
      </c>
      <c r="Z9" s="127">
        <f t="shared" si="1"/>
        <v>1.1506482102413494E-9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0"/>
      <c r="AO9" s="90"/>
      <c r="AP9" s="90"/>
      <c r="AQ9" s="112"/>
      <c r="AR9" s="92"/>
      <c r="AS9" s="92"/>
      <c r="AT9" s="92"/>
      <c r="AU9" s="79"/>
    </row>
    <row r="10" spans="1:47" ht="14.25" customHeight="1" x14ac:dyDescent="0.3">
      <c r="A10" s="76"/>
      <c r="B10" s="79"/>
      <c r="C10" s="78"/>
      <c r="D10" s="85"/>
      <c r="E10" s="85"/>
      <c r="F10" s="85"/>
      <c r="G10" s="85"/>
      <c r="H10" s="78"/>
      <c r="I10" s="85"/>
      <c r="J10" s="85"/>
      <c r="K10" s="85"/>
      <c r="L10" s="85"/>
      <c r="M10" s="78"/>
      <c r="N10" s="89"/>
      <c r="O10" s="78"/>
      <c r="P10" s="78"/>
      <c r="Q10" s="78"/>
      <c r="R10" s="78"/>
      <c r="S10" s="78"/>
      <c r="T10" s="78"/>
      <c r="U10" s="78"/>
      <c r="V10" s="87" t="s">
        <v>31</v>
      </c>
      <c r="W10" s="111">
        <f>Utilitas!O10/Utilitas!C30</f>
        <v>2.0257163306103306E-5</v>
      </c>
      <c r="X10" s="18" t="s">
        <v>207</v>
      </c>
      <c r="Y10" s="127">
        <f>CF!I23</f>
        <v>9.4300000000000004E-4</v>
      </c>
      <c r="Z10" s="127">
        <f t="shared" si="1"/>
        <v>1.910250499765542E-8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0"/>
      <c r="AO10" s="90"/>
      <c r="AP10" s="90"/>
      <c r="AQ10" s="112"/>
      <c r="AR10" s="92"/>
      <c r="AS10" s="92"/>
      <c r="AT10" s="92"/>
      <c r="AU10" s="79"/>
    </row>
    <row r="11" spans="1:47" ht="14.25" customHeight="1" x14ac:dyDescent="0.3">
      <c r="A11" s="76"/>
      <c r="B11" s="79"/>
      <c r="C11" s="78"/>
      <c r="D11" s="85"/>
      <c r="E11" s="85"/>
      <c r="F11" s="85"/>
      <c r="G11" s="85"/>
      <c r="H11" s="78"/>
      <c r="I11" s="85"/>
      <c r="J11" s="85"/>
      <c r="K11" s="85"/>
      <c r="L11" s="85"/>
      <c r="M11" s="78"/>
      <c r="N11" s="89"/>
      <c r="O11" s="78"/>
      <c r="P11" s="78"/>
      <c r="Q11" s="78"/>
      <c r="R11" s="78"/>
      <c r="S11" s="78"/>
      <c r="T11" s="78"/>
      <c r="U11" s="78"/>
      <c r="V11" s="78"/>
      <c r="W11" s="113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0"/>
      <c r="AO11" s="90"/>
      <c r="AP11" s="90"/>
      <c r="AQ11" s="112"/>
      <c r="AR11" s="92"/>
      <c r="AS11" s="92"/>
      <c r="AT11" s="92"/>
      <c r="AU11" s="79"/>
    </row>
    <row r="12" spans="1:47" ht="14.25" customHeight="1" x14ac:dyDescent="0.3">
      <c r="A12" s="76"/>
      <c r="B12" s="79"/>
      <c r="C12" s="78"/>
      <c r="D12" s="85"/>
      <c r="E12" s="85"/>
      <c r="F12" s="85"/>
      <c r="G12" s="85"/>
      <c r="H12" s="78"/>
      <c r="I12" s="85"/>
      <c r="J12" s="85"/>
      <c r="K12" s="85"/>
      <c r="L12" s="85"/>
      <c r="M12" s="78"/>
      <c r="N12" s="89"/>
      <c r="O12" s="78"/>
      <c r="P12" s="78"/>
      <c r="Q12" s="78"/>
      <c r="R12" s="78"/>
      <c r="S12" s="78"/>
      <c r="T12" s="78"/>
      <c r="U12" s="78"/>
      <c r="V12" s="78"/>
      <c r="W12" s="113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90"/>
      <c r="AO12" s="90"/>
      <c r="AP12" s="90"/>
      <c r="AQ12" s="112"/>
      <c r="AR12" s="92"/>
      <c r="AS12" s="92"/>
      <c r="AT12" s="92"/>
      <c r="AU12" s="79"/>
    </row>
    <row r="13" spans="1:47" ht="14.25" customHeight="1" x14ac:dyDescent="0.3">
      <c r="A13" s="76">
        <v>2</v>
      </c>
      <c r="B13" s="77" t="s">
        <v>101</v>
      </c>
      <c r="C13" s="78"/>
      <c r="D13" s="85"/>
      <c r="E13" s="85"/>
      <c r="F13" s="85"/>
      <c r="G13" s="85"/>
      <c r="H13" s="80" t="s">
        <v>22</v>
      </c>
      <c r="I13" s="111">
        <f>'UT Unit Fungsi'!G13</f>
        <v>1.3651443943405738E-2</v>
      </c>
      <c r="J13" s="188" t="s">
        <v>203</v>
      </c>
      <c r="K13" s="111">
        <f>K8</f>
        <v>6.3500000000000004E-4</v>
      </c>
      <c r="L13" s="111">
        <f>I13*K13</f>
        <v>8.6686669040626448E-6</v>
      </c>
      <c r="M13" s="80" t="s">
        <v>115</v>
      </c>
      <c r="N13" s="81">
        <f>Utilitas!J13/Utilitas!C30</f>
        <v>5.3429011325306891E-2</v>
      </c>
      <c r="O13" s="188" t="s">
        <v>203</v>
      </c>
      <c r="P13" s="125">
        <v>0</v>
      </c>
      <c r="Q13" s="86">
        <f t="shared" ref="Q13:Q14" si="2">N13*P13</f>
        <v>0</v>
      </c>
      <c r="R13" s="78"/>
      <c r="S13" s="78"/>
      <c r="T13" s="78"/>
      <c r="U13" s="78"/>
      <c r="V13" s="87" t="s">
        <v>24</v>
      </c>
      <c r="W13" s="111">
        <f>Utilitas!O13/Utilitas!C30</f>
        <v>6.962981035352022E-8</v>
      </c>
      <c r="X13" s="20" t="s">
        <v>205</v>
      </c>
      <c r="Y13" s="126">
        <f t="shared" ref="Y13:Y15" si="3">Y8</f>
        <v>2.7099999999999997E-4</v>
      </c>
      <c r="Z13" s="126">
        <f t="shared" ref="Z13:Z15" si="4">W13*Y13</f>
        <v>1.8869678605803978E-11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80" t="s">
        <v>116</v>
      </c>
      <c r="AL13" s="94">
        <f>Utilitas!X13/Utilitas!C30</f>
        <v>3.6329210656642426E-3</v>
      </c>
      <c r="AM13" s="188" t="s">
        <v>200</v>
      </c>
      <c r="AN13" s="128">
        <f>CF!I12</f>
        <v>1.35E-2</v>
      </c>
      <c r="AO13" s="128">
        <f t="shared" ref="AO13:AO16" si="5">AL13*AN13</f>
        <v>4.9044434386467273E-5</v>
      </c>
      <c r="AP13" s="95" t="s">
        <v>117</v>
      </c>
      <c r="AQ13" s="111">
        <f>Utilitas!AA13/Utilitas!C30</f>
        <v>1.0685802265061379E-7</v>
      </c>
      <c r="AR13" s="188" t="s">
        <v>203</v>
      </c>
      <c r="AS13" s="129">
        <f>CF!I26</f>
        <v>1.24E-2</v>
      </c>
      <c r="AT13" s="130">
        <f t="shared" ref="AT13:AT14" si="6">AQ13*AS13</f>
        <v>1.3250394808676109E-9</v>
      </c>
      <c r="AU13" s="79"/>
    </row>
    <row r="14" spans="1:47" ht="14.25" customHeight="1" x14ac:dyDescent="0.3">
      <c r="A14" s="79"/>
      <c r="B14" s="79"/>
      <c r="C14" s="78"/>
      <c r="D14" s="85"/>
      <c r="E14" s="85"/>
      <c r="F14" s="85"/>
      <c r="G14" s="85"/>
      <c r="H14" s="78"/>
      <c r="I14" s="85"/>
      <c r="J14" s="85"/>
      <c r="K14" s="85"/>
      <c r="L14" s="85"/>
      <c r="M14" s="80" t="s">
        <v>118</v>
      </c>
      <c r="N14" s="81">
        <f>Utilitas!J14/Utilitas!C30</f>
        <v>1.9642121495572963E-2</v>
      </c>
      <c r="O14" s="188" t="s">
        <v>203</v>
      </c>
      <c r="P14" s="125">
        <f>CF!I32</f>
        <v>1.91E-3</v>
      </c>
      <c r="Q14" s="111">
        <f t="shared" si="2"/>
        <v>3.7516452056544363E-5</v>
      </c>
      <c r="R14" s="78"/>
      <c r="S14" s="78"/>
      <c r="T14" s="78"/>
      <c r="U14" s="78"/>
      <c r="V14" s="87" t="s">
        <v>29</v>
      </c>
      <c r="W14" s="111">
        <f>Utilitas!O14/Utilitas!C30</f>
        <v>1.058833295138436E-6</v>
      </c>
      <c r="X14" s="18" t="s">
        <v>206</v>
      </c>
      <c r="Y14" s="127">
        <f t="shared" si="3"/>
        <v>2.2200000000000002E-3</v>
      </c>
      <c r="Z14" s="127">
        <f t="shared" si="4"/>
        <v>2.350609915207328E-9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80" t="s">
        <v>119</v>
      </c>
      <c r="AL14" s="94">
        <f>Utilitas!X14/Utilitas!C30</f>
        <v>6.5392579181956359E-2</v>
      </c>
      <c r="AM14" s="188" t="s">
        <v>203</v>
      </c>
      <c r="AN14" s="131">
        <v>0</v>
      </c>
      <c r="AO14" s="132">
        <f t="shared" si="5"/>
        <v>0</v>
      </c>
      <c r="AP14" s="95" t="s">
        <v>121</v>
      </c>
      <c r="AQ14" s="111">
        <f>Utilitas!AA14/Utilitas!C30</f>
        <v>3.9284242991145929E-8</v>
      </c>
      <c r="AR14" s="188" t="s">
        <v>203</v>
      </c>
      <c r="AS14" s="129">
        <f>AS13</f>
        <v>1.24E-2</v>
      </c>
      <c r="AT14" s="130">
        <f t="shared" si="6"/>
        <v>4.8712461309020949E-10</v>
      </c>
      <c r="AU14" s="79"/>
    </row>
    <row r="15" spans="1:47" ht="14.25" customHeight="1" x14ac:dyDescent="0.3">
      <c r="A15" s="79"/>
      <c r="B15" s="79"/>
      <c r="C15" s="78"/>
      <c r="D15" s="85"/>
      <c r="E15" s="85"/>
      <c r="F15" s="85"/>
      <c r="G15" s="85"/>
      <c r="H15" s="78"/>
      <c r="I15" s="85"/>
      <c r="J15" s="85"/>
      <c r="K15" s="85"/>
      <c r="L15" s="85"/>
      <c r="M15" s="78"/>
      <c r="N15" s="78"/>
      <c r="O15" s="78"/>
      <c r="P15" s="78"/>
      <c r="Q15" s="78"/>
      <c r="R15" s="78"/>
      <c r="S15" s="78"/>
      <c r="T15" s="78"/>
      <c r="U15" s="78"/>
      <c r="V15" s="87" t="s">
        <v>31</v>
      </c>
      <c r="W15" s="111">
        <f>Utilitas!O15/Utilitas!C30</f>
        <v>4.138249075389676E-5</v>
      </c>
      <c r="X15" s="18" t="s">
        <v>207</v>
      </c>
      <c r="Y15" s="127">
        <f t="shared" si="3"/>
        <v>9.4300000000000004E-4</v>
      </c>
      <c r="Z15" s="127">
        <f t="shared" si="4"/>
        <v>3.9023688780924645E-8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80" t="s">
        <v>122</v>
      </c>
      <c r="AL15" s="94">
        <f>Utilitas!X15/Utilitas!C30</f>
        <v>7.2658421313284859E-5</v>
      </c>
      <c r="AM15" s="188" t="s">
        <v>203</v>
      </c>
      <c r="AN15" s="125">
        <v>0</v>
      </c>
      <c r="AO15" s="132">
        <f t="shared" si="5"/>
        <v>0</v>
      </c>
      <c r="AP15" s="78"/>
      <c r="AQ15" s="97"/>
      <c r="AR15" s="78"/>
      <c r="AS15" s="78"/>
      <c r="AT15" s="78"/>
      <c r="AU15" s="79"/>
    </row>
    <row r="16" spans="1:47" ht="14.25" customHeight="1" x14ac:dyDescent="0.3">
      <c r="A16" s="98"/>
      <c r="B16" s="98"/>
      <c r="C16" s="84"/>
      <c r="D16" s="99"/>
      <c r="E16" s="99"/>
      <c r="F16" s="99"/>
      <c r="G16" s="99"/>
      <c r="H16" s="84"/>
      <c r="I16" s="99"/>
      <c r="J16" s="99"/>
      <c r="K16" s="99"/>
      <c r="L16" s="9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115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101" t="s">
        <v>123</v>
      </c>
      <c r="AL16" s="102">
        <f>Utilitas!X16/Utilitas!C30</f>
        <v>3.2696289590978186E-3</v>
      </c>
      <c r="AM16" s="188" t="s">
        <v>203</v>
      </c>
      <c r="AN16" s="133">
        <v>0</v>
      </c>
      <c r="AO16" s="132">
        <f t="shared" si="5"/>
        <v>0</v>
      </c>
      <c r="AP16" s="84"/>
      <c r="AQ16" s="84"/>
      <c r="AR16" s="84"/>
      <c r="AS16" s="84"/>
      <c r="AT16" s="84"/>
      <c r="AU16" s="98"/>
    </row>
    <row r="17" spans="1:47" ht="12.75" customHeight="1" x14ac:dyDescent="0.3">
      <c r="A17" s="103"/>
      <c r="B17" s="98"/>
      <c r="C17" s="84"/>
      <c r="D17" s="99"/>
      <c r="E17" s="99"/>
      <c r="F17" s="99"/>
      <c r="G17" s="99"/>
      <c r="H17" s="84"/>
      <c r="I17" s="99"/>
      <c r="J17" s="99"/>
      <c r="K17" s="99"/>
      <c r="L17" s="99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5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98"/>
    </row>
    <row r="18" spans="1:47" ht="12.75" customHeight="1" x14ac:dyDescent="0.3">
      <c r="A18" s="76">
        <v>3</v>
      </c>
      <c r="B18" s="104" t="s">
        <v>102</v>
      </c>
      <c r="C18" s="78"/>
      <c r="D18" s="85"/>
      <c r="E18" s="85"/>
      <c r="F18" s="85"/>
      <c r="G18" s="85"/>
      <c r="H18" s="79" t="s">
        <v>22</v>
      </c>
      <c r="I18" s="116">
        <f>'UT Unit Fungsi'!G18</f>
        <v>2.2169610837840557</v>
      </c>
      <c r="J18" s="188" t="s">
        <v>203</v>
      </c>
      <c r="K18" s="116">
        <f>K8</f>
        <v>6.3500000000000004E-4</v>
      </c>
      <c r="L18" s="116">
        <f>I18*K18</f>
        <v>1.4077702882028754E-3</v>
      </c>
      <c r="M18" s="78"/>
      <c r="N18" s="78"/>
      <c r="O18" s="78"/>
      <c r="P18" s="78"/>
      <c r="Q18" s="78"/>
      <c r="R18" s="117">
        <f>Utilitas!L18/Utilitas!C30</f>
        <v>7.40849022395951E-4</v>
      </c>
      <c r="S18" s="190" t="s">
        <v>203</v>
      </c>
      <c r="T18" s="117">
        <f>CF!I10</f>
        <v>2.52E-6</v>
      </c>
      <c r="U18" s="117">
        <f>R18*T18</f>
        <v>1.8669395364377965E-9</v>
      </c>
      <c r="V18" s="87" t="s">
        <v>24</v>
      </c>
      <c r="W18" s="117">
        <f>Utilitas!O18/Utilitas!C30</f>
        <v>1.130771077879893E-5</v>
      </c>
      <c r="X18" s="20" t="s">
        <v>205</v>
      </c>
      <c r="Y18" s="126">
        <f t="shared" ref="Y18:Y20" si="7">Y8</f>
        <v>2.7099999999999997E-4</v>
      </c>
      <c r="Z18" s="126">
        <f t="shared" ref="Z18:Z20" si="8">W18*Y18</f>
        <v>3.0643896210545097E-9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/>
    </row>
    <row r="19" spans="1:47" ht="14.25" customHeight="1" x14ac:dyDescent="0.3">
      <c r="A19" s="79"/>
      <c r="B19" s="77"/>
      <c r="C19" s="78"/>
      <c r="D19" s="85"/>
      <c r="E19" s="85"/>
      <c r="F19" s="85"/>
      <c r="G19" s="85"/>
      <c r="H19" s="78"/>
      <c r="I19" s="10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7" t="s">
        <v>29</v>
      </c>
      <c r="W19" s="117">
        <f>Utilitas!O19/Utilitas!C30</f>
        <v>1.7195193558045894E-4</v>
      </c>
      <c r="X19" s="18" t="s">
        <v>206</v>
      </c>
      <c r="Y19" s="127">
        <f t="shared" si="7"/>
        <v>2.2200000000000002E-3</v>
      </c>
      <c r="Z19" s="127">
        <f t="shared" si="8"/>
        <v>3.8173329698861885E-7</v>
      </c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1:47" ht="14.25" customHeight="1" x14ac:dyDescent="0.3">
      <c r="A20" s="79"/>
      <c r="B20" s="77"/>
      <c r="C20" s="78"/>
      <c r="D20" s="85"/>
      <c r="E20" s="85"/>
      <c r="F20" s="85"/>
      <c r="G20" s="85"/>
      <c r="H20" s="78"/>
      <c r="I20" s="10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87" t="s">
        <v>31</v>
      </c>
      <c r="W20" s="117">
        <f>Utilitas!O20/Utilitas!C30</f>
        <v>6.7204152126163026E-3</v>
      </c>
      <c r="X20" s="18" t="s">
        <v>207</v>
      </c>
      <c r="Y20" s="127">
        <f t="shared" si="7"/>
        <v>9.4300000000000004E-4</v>
      </c>
      <c r="Z20" s="127">
        <f t="shared" si="8"/>
        <v>6.337351545497174E-6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</row>
    <row r="21" spans="1:47" ht="14.25" customHeight="1" x14ac:dyDescent="0.3">
      <c r="A21" s="79"/>
      <c r="B21" s="77"/>
      <c r="C21" s="78"/>
      <c r="D21" s="85"/>
      <c r="E21" s="85"/>
      <c r="F21" s="85"/>
      <c r="G21" s="85"/>
      <c r="H21" s="78"/>
      <c r="I21" s="10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85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9"/>
    </row>
    <row r="22" spans="1:47" ht="14.25" customHeight="1" x14ac:dyDescent="0.3">
      <c r="A22" s="76">
        <v>4</v>
      </c>
      <c r="B22" s="77" t="s">
        <v>103</v>
      </c>
      <c r="C22" s="80" t="s">
        <v>124</v>
      </c>
      <c r="D22" s="111">
        <f>'UT Unit Fungsi'!D22</f>
        <v>0.21396490426821876</v>
      </c>
      <c r="E22" s="188" t="s">
        <v>203</v>
      </c>
      <c r="F22" s="94">
        <v>0</v>
      </c>
      <c r="G22" s="111">
        <f t="shared" ref="G22:G28" si="9">D22*F22</f>
        <v>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80" t="s">
        <v>124</v>
      </c>
      <c r="AG22" s="111">
        <f>Utilitas!U22/Utilitas!C30</f>
        <v>2.1398182754583456E-4</v>
      </c>
      <c r="AH22" s="188" t="s">
        <v>203</v>
      </c>
      <c r="AI22" s="111">
        <f>CF!I34</f>
        <v>8.7600000000000004E-4</v>
      </c>
      <c r="AJ22" s="111">
        <f t="shared" ref="AJ22:AJ28" si="10">AG22*AI22</f>
        <v>1.874480809301511E-7</v>
      </c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9"/>
    </row>
    <row r="23" spans="1:47" ht="14.25" customHeight="1" x14ac:dyDescent="0.3">
      <c r="A23" s="79"/>
      <c r="B23" s="79"/>
      <c r="C23" s="108" t="s">
        <v>125</v>
      </c>
      <c r="D23" s="111">
        <f>'UT Unit Fungsi'!D23</f>
        <v>2.3811919465810231E-3</v>
      </c>
      <c r="E23" s="188" t="s">
        <v>203</v>
      </c>
      <c r="F23" s="94">
        <v>0</v>
      </c>
      <c r="G23" s="111">
        <f t="shared" si="9"/>
        <v>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108" t="s">
        <v>125</v>
      </c>
      <c r="AG23" s="111">
        <f>Utilitas!U23/Utilitas!C30</f>
        <v>2.3811919465810231E-6</v>
      </c>
      <c r="AH23" s="188" t="s">
        <v>203</v>
      </c>
      <c r="AI23" s="125">
        <v>0</v>
      </c>
      <c r="AJ23" s="111">
        <f t="shared" si="10"/>
        <v>0</v>
      </c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9"/>
    </row>
    <row r="24" spans="1:47" ht="14.25" customHeight="1" x14ac:dyDescent="0.3">
      <c r="A24" s="79"/>
      <c r="B24" s="79"/>
      <c r="C24" s="108" t="s">
        <v>126</v>
      </c>
      <c r="D24" s="111">
        <f>'UT Unit Fungsi'!D24</f>
        <v>2.6502286676525925E-2</v>
      </c>
      <c r="E24" s="188" t="s">
        <v>203</v>
      </c>
      <c r="F24" s="94">
        <v>0</v>
      </c>
      <c r="G24" s="111">
        <f t="shared" si="9"/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108" t="s">
        <v>126</v>
      </c>
      <c r="AG24" s="111">
        <f>Utilitas!U24/Utilitas!C30</f>
        <v>2.6502286676525927E-5</v>
      </c>
      <c r="AH24" s="188" t="s">
        <v>203</v>
      </c>
      <c r="AI24" s="111">
        <f>CF!I29</f>
        <v>3.19E-6</v>
      </c>
      <c r="AJ24" s="111">
        <f t="shared" si="10"/>
        <v>8.4542294498117701E-11</v>
      </c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</row>
    <row r="25" spans="1:47" ht="14.25" customHeight="1" x14ac:dyDescent="0.3">
      <c r="A25" s="79"/>
      <c r="B25" s="79"/>
      <c r="C25" s="80" t="s">
        <v>127</v>
      </c>
      <c r="D25" s="111">
        <f>'UT Unit Fungsi'!D25</f>
        <v>4.7189908736343759E-3</v>
      </c>
      <c r="E25" s="188" t="s">
        <v>203</v>
      </c>
      <c r="F25" s="94">
        <v>0</v>
      </c>
      <c r="G25" s="111">
        <f t="shared" si="9"/>
        <v>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0" t="s">
        <v>127</v>
      </c>
      <c r="AG25" s="111">
        <f>Utilitas!U25/Utilitas!C30</f>
        <v>4.7189908736343763E-6</v>
      </c>
      <c r="AH25" s="188" t="s">
        <v>203</v>
      </c>
      <c r="AI25" s="111">
        <f>CF!I31</f>
        <v>1.8800000000000001E-2</v>
      </c>
      <c r="AJ25" s="111">
        <f t="shared" si="10"/>
        <v>8.8717028424326272E-8</v>
      </c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</row>
    <row r="26" spans="1:47" ht="14.25" customHeight="1" x14ac:dyDescent="0.3">
      <c r="A26" s="79"/>
      <c r="B26" s="79"/>
      <c r="C26" s="108" t="s">
        <v>128</v>
      </c>
      <c r="D26" s="118">
        <f>'UT Unit Fungsi'!D26</f>
        <v>5.0335902652099982E-3</v>
      </c>
      <c r="E26" s="188" t="s">
        <v>203</v>
      </c>
      <c r="F26" s="94">
        <v>0</v>
      </c>
      <c r="G26" s="111">
        <f t="shared" si="9"/>
        <v>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108" t="s">
        <v>128</v>
      </c>
      <c r="AG26" s="111">
        <f>Utilitas!U26/Utilitas!C30</f>
        <v>5.0335902652099982E-6</v>
      </c>
      <c r="AH26" s="188" t="s">
        <v>203</v>
      </c>
      <c r="AI26" s="111">
        <f>CF!I13</f>
        <v>0.114</v>
      </c>
      <c r="AJ26" s="111">
        <f t="shared" si="10"/>
        <v>5.7382929023393977E-7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</row>
    <row r="27" spans="1:47" ht="14.25" customHeight="1" x14ac:dyDescent="0.3">
      <c r="A27" s="79"/>
      <c r="B27" s="79"/>
      <c r="C27" s="108" t="s">
        <v>129</v>
      </c>
      <c r="D27" s="111">
        <f>'UT Unit Fungsi'!D27</f>
        <v>1.3180597136765854E-2</v>
      </c>
      <c r="E27" s="188" t="s">
        <v>203</v>
      </c>
      <c r="F27" s="94">
        <v>0</v>
      </c>
      <c r="G27" s="111">
        <f t="shared" si="9"/>
        <v>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108" t="s">
        <v>129</v>
      </c>
      <c r="AG27" s="111">
        <f>Utilitas!U27/Utilitas!C30</f>
        <v>1.3180597136765854E-5</v>
      </c>
      <c r="AH27" s="188" t="s">
        <v>203</v>
      </c>
      <c r="AI27" s="111">
        <f>CF!I25</f>
        <v>4.5000000000000003E-5</v>
      </c>
      <c r="AJ27" s="111">
        <f t="shared" si="10"/>
        <v>5.9312687115446342E-10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9"/>
    </row>
    <row r="28" spans="1:47" ht="14.25" customHeight="1" x14ac:dyDescent="0.3">
      <c r="A28" s="79"/>
      <c r="B28" s="79"/>
      <c r="C28" s="80" t="s">
        <v>130</v>
      </c>
      <c r="D28" s="111">
        <f>'UT Unit Fungsi'!D28</f>
        <v>1.4428178992951074E-3</v>
      </c>
      <c r="E28" s="188" t="s">
        <v>203</v>
      </c>
      <c r="F28" s="94">
        <v>0</v>
      </c>
      <c r="G28" s="111">
        <f t="shared" si="9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80" t="s">
        <v>130</v>
      </c>
      <c r="AG28" s="111">
        <f>Utilitas!U28/Utilitas!C30</f>
        <v>1.4428178992951075E-6</v>
      </c>
      <c r="AH28" s="188" t="s">
        <v>203</v>
      </c>
      <c r="AI28" s="111">
        <f>CF!I34</f>
        <v>8.7600000000000004E-4</v>
      </c>
      <c r="AJ28" s="111">
        <f t="shared" si="10"/>
        <v>1.2639084797825142E-9</v>
      </c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9"/>
    </row>
    <row r="29" spans="1:47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ht="14.25" customHeight="1" x14ac:dyDescent="0.35">
      <c r="A30" s="109"/>
      <c r="B30" s="135" t="s">
        <v>98</v>
      </c>
      <c r="C30" s="109"/>
      <c r="D30" s="136" t="s">
        <v>100</v>
      </c>
      <c r="E30" s="137">
        <f>SUM(G5:G7,L8,Z8:Z10,AE6,AT6)</f>
        <v>4.2740890948014998E-6</v>
      </c>
      <c r="F30" s="109"/>
      <c r="G30" s="381" t="s">
        <v>210</v>
      </c>
      <c r="H30" s="381"/>
      <c r="I30" s="381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</row>
    <row r="31" spans="1:47" ht="14.25" customHeight="1" x14ac:dyDescent="0.35">
      <c r="A31" s="109"/>
      <c r="B31" s="304">
        <f>SUM(G5:G7,L8,L13,L18,Q13:Q14,U18,Z8:Z10,Z13:Z15,Z18:Z20,AE6,AJ22:AJ28,AO13:AO16,AT6,AT13:AT14)</f>
        <v>1.5148930881260974E-3</v>
      </c>
      <c r="C31" s="109"/>
      <c r="D31" s="136" t="s">
        <v>101</v>
      </c>
      <c r="E31" s="137">
        <f>SUM(L13,Q13:Q14,Z13:Z15,AO13:AO16,AT13:AT14)</f>
        <v>9.5272758679542996E-5</v>
      </c>
      <c r="F31" s="109"/>
      <c r="G31" s="197" t="s">
        <v>86</v>
      </c>
      <c r="H31" s="195" t="s">
        <v>211</v>
      </c>
      <c r="I31" s="197" t="s">
        <v>212</v>
      </c>
      <c r="J31" s="109"/>
      <c r="K31" s="109"/>
      <c r="L31" s="109"/>
      <c r="M31" s="10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ht="14.25" customHeight="1" x14ac:dyDescent="0.35">
      <c r="A32" s="109"/>
      <c r="B32" s="135" t="s">
        <v>99</v>
      </c>
      <c r="C32" s="109"/>
      <c r="D32" s="136" t="s">
        <v>102</v>
      </c>
      <c r="E32" s="137">
        <f>SUM(L18,U18,Z18:Z20)</f>
        <v>1.4144943043745187E-3</v>
      </c>
      <c r="F32" s="109"/>
      <c r="G32" s="215">
        <f>G5</f>
        <v>5.8804183304047569E-9</v>
      </c>
      <c r="H32" s="216">
        <f>(G32/$G$71)*100%</f>
        <v>3.8817381744600577E-6</v>
      </c>
      <c r="I32" s="220"/>
      <c r="J32" s="109"/>
      <c r="K32" s="109"/>
      <c r="L32" s="109"/>
      <c r="M32" s="109"/>
      <c r="N32" s="140"/>
      <c r="O32" s="139"/>
      <c r="P32" s="139"/>
      <c r="Q32" s="139"/>
      <c r="R32" s="139"/>
      <c r="S32" s="139"/>
      <c r="T32" s="139"/>
      <c r="U32" s="139"/>
      <c r="V32" s="139"/>
      <c r="W32" s="13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ht="14.25" customHeight="1" x14ac:dyDescent="0.3">
      <c r="A33" s="109"/>
      <c r="B33" s="109"/>
      <c r="C33" s="109"/>
      <c r="D33" s="136" t="s">
        <v>103</v>
      </c>
      <c r="E33" s="137">
        <f>SUM(AJ22:AJ28)</f>
        <v>8.5193597723385215E-7</v>
      </c>
      <c r="F33" s="109"/>
      <c r="G33" s="215">
        <f t="shared" ref="G33:G34" si="11">G6</f>
        <v>0</v>
      </c>
      <c r="H33" s="216">
        <f t="shared" ref="H33:H70" si="12">(G33/$G$71)*100%</f>
        <v>0</v>
      </c>
      <c r="I33" s="220"/>
      <c r="J33" s="109"/>
      <c r="K33" s="109"/>
      <c r="L33" s="109"/>
      <c r="M33" s="109"/>
      <c r="N33" s="141"/>
      <c r="O33" s="142"/>
      <c r="P33" s="142"/>
      <c r="Q33" s="142"/>
      <c r="R33" s="141"/>
      <c r="S33" s="139"/>
      <c r="T33" s="139"/>
      <c r="U33" s="139"/>
      <c r="V33" s="139"/>
      <c r="W33" s="13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</row>
    <row r="34" spans="1:47" ht="14.25" customHeight="1" x14ac:dyDescent="0.3">
      <c r="A34" s="109"/>
      <c r="B34" s="109"/>
      <c r="C34" s="109"/>
      <c r="D34" s="109"/>
      <c r="E34" s="137">
        <f>SUM(E30:E33)</f>
        <v>1.5148930881260971E-3</v>
      </c>
      <c r="F34" s="109"/>
      <c r="G34" s="215">
        <f t="shared" si="11"/>
        <v>0</v>
      </c>
      <c r="H34" s="216">
        <f t="shared" si="12"/>
        <v>0</v>
      </c>
      <c r="I34" s="220"/>
      <c r="J34" s="109"/>
      <c r="K34" s="109"/>
      <c r="L34" s="109"/>
      <c r="M34" s="109"/>
      <c r="N34" s="141"/>
      <c r="O34" s="142"/>
      <c r="P34" s="142"/>
      <c r="Q34" s="142"/>
      <c r="R34" s="141"/>
      <c r="S34" s="139"/>
      <c r="T34" s="139"/>
      <c r="U34" s="139"/>
      <c r="V34" s="139"/>
      <c r="W34" s="13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14.25" customHeight="1" x14ac:dyDescent="0.3">
      <c r="A35" s="109"/>
      <c r="B35" s="109"/>
      <c r="C35" s="109"/>
      <c r="D35" s="109"/>
      <c r="E35" s="109"/>
      <c r="F35" s="109"/>
      <c r="G35" s="223">
        <f>G22</f>
        <v>0</v>
      </c>
      <c r="H35" s="224">
        <f t="shared" si="12"/>
        <v>0</v>
      </c>
      <c r="I35" s="229"/>
      <c r="J35" s="109"/>
      <c r="K35" s="109"/>
      <c r="L35" s="109"/>
      <c r="M35" s="109"/>
      <c r="N35" s="141"/>
      <c r="O35" s="142"/>
      <c r="P35" s="142"/>
      <c r="Q35" s="142"/>
      <c r="R35" s="141"/>
      <c r="S35" s="139"/>
      <c r="T35" s="139"/>
      <c r="U35" s="139"/>
      <c r="V35" s="139"/>
      <c r="W35" s="13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ht="14.25" customHeight="1" x14ac:dyDescent="0.3">
      <c r="A36" s="109"/>
      <c r="B36" s="109"/>
      <c r="C36" s="109"/>
      <c r="D36" s="109"/>
      <c r="E36" s="109"/>
      <c r="F36" s="109"/>
      <c r="G36" s="215">
        <f t="shared" ref="G36:G41" si="13">G23</f>
        <v>0</v>
      </c>
      <c r="H36" s="216">
        <f t="shared" si="12"/>
        <v>0</v>
      </c>
      <c r="I36" s="220"/>
      <c r="J36" s="109"/>
      <c r="K36" s="109"/>
      <c r="L36" s="109"/>
      <c r="M36" s="109"/>
      <c r="N36" s="141"/>
      <c r="O36" s="142"/>
      <c r="P36" s="142"/>
      <c r="Q36" s="142"/>
      <c r="R36" s="141"/>
      <c r="S36" s="139"/>
      <c r="T36" s="139"/>
      <c r="U36" s="139"/>
      <c r="V36" s="139"/>
      <c r="W36" s="13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</row>
    <row r="37" spans="1:47" ht="14.25" customHeight="1" x14ac:dyDescent="0.3">
      <c r="A37" s="109"/>
      <c r="B37" s="109"/>
      <c r="C37" s="109"/>
      <c r="D37" s="109"/>
      <c r="E37" s="109"/>
      <c r="F37" s="109"/>
      <c r="G37" s="215">
        <f t="shared" si="13"/>
        <v>0</v>
      </c>
      <c r="H37" s="216">
        <f t="shared" si="12"/>
        <v>0</v>
      </c>
      <c r="I37" s="220"/>
      <c r="J37" s="109"/>
      <c r="K37" s="109"/>
      <c r="L37" s="109"/>
      <c r="M37" s="109"/>
      <c r="N37" s="141"/>
      <c r="O37" s="142"/>
      <c r="P37" s="142"/>
      <c r="Q37" s="142"/>
      <c r="R37" s="141"/>
      <c r="S37" s="139"/>
      <c r="T37" s="139"/>
      <c r="U37" s="139"/>
      <c r="V37" s="139"/>
      <c r="W37" s="13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ht="14.25" customHeight="1" x14ac:dyDescent="0.3">
      <c r="A38" s="109"/>
      <c r="B38" s="109"/>
      <c r="C38" s="109"/>
      <c r="D38" s="109"/>
      <c r="E38" s="109"/>
      <c r="F38" s="109"/>
      <c r="G38" s="215">
        <f t="shared" si="13"/>
        <v>0</v>
      </c>
      <c r="H38" s="216">
        <f t="shared" si="12"/>
        <v>0</v>
      </c>
      <c r="I38" s="220"/>
      <c r="J38" s="109"/>
      <c r="K38" s="109"/>
      <c r="L38" s="109"/>
      <c r="M38" s="109"/>
      <c r="N38" s="141"/>
      <c r="O38" s="142"/>
      <c r="P38" s="142"/>
      <c r="Q38" s="142"/>
      <c r="R38" s="141"/>
      <c r="S38" s="139"/>
      <c r="T38" s="139"/>
      <c r="U38" s="139"/>
      <c r="V38" s="139"/>
      <c r="W38" s="13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ht="14.25" customHeight="1" x14ac:dyDescent="0.3">
      <c r="A39" s="109"/>
      <c r="B39" s="109"/>
      <c r="C39" s="109"/>
      <c r="D39" s="109"/>
      <c r="E39" s="109"/>
      <c r="F39" s="109"/>
      <c r="G39" s="223">
        <f t="shared" si="13"/>
        <v>0</v>
      </c>
      <c r="H39" s="224">
        <f t="shared" si="12"/>
        <v>0</v>
      </c>
      <c r="I39" s="229"/>
      <c r="J39" s="109"/>
      <c r="K39" s="109"/>
      <c r="L39" s="109"/>
      <c r="M39" s="109"/>
      <c r="N39" s="140"/>
      <c r="O39" s="139"/>
      <c r="P39" s="139"/>
      <c r="Q39" s="139"/>
      <c r="R39" s="141"/>
      <c r="S39" s="143"/>
      <c r="T39" s="143"/>
      <c r="U39" s="143"/>
      <c r="V39" s="143"/>
      <c r="W39" s="143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ht="14.25" customHeight="1" x14ac:dyDescent="0.3">
      <c r="A40" s="109"/>
      <c r="B40" s="109"/>
      <c r="C40" s="109"/>
      <c r="D40" s="109"/>
      <c r="E40" s="109"/>
      <c r="F40" s="109"/>
      <c r="G40" s="215">
        <f t="shared" si="13"/>
        <v>0</v>
      </c>
      <c r="H40" s="216">
        <f t="shared" si="12"/>
        <v>0</v>
      </c>
      <c r="I40" s="220"/>
      <c r="J40" s="109"/>
      <c r="K40" s="109"/>
      <c r="L40" s="109"/>
      <c r="M40" s="109"/>
      <c r="N40" s="144"/>
      <c r="O40" s="142"/>
      <c r="P40" s="142"/>
      <c r="Q40" s="142"/>
      <c r="R40" s="141"/>
      <c r="S40" s="143"/>
      <c r="T40" s="143"/>
      <c r="U40" s="143"/>
      <c r="V40" s="143"/>
      <c r="W40" s="143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ht="14.25" customHeight="1" x14ac:dyDescent="0.3">
      <c r="A41" s="109"/>
      <c r="B41" s="109"/>
      <c r="C41" s="109"/>
      <c r="D41" s="109"/>
      <c r="E41" s="109"/>
      <c r="F41" s="109"/>
      <c r="G41" s="223">
        <f t="shared" si="13"/>
        <v>0</v>
      </c>
      <c r="H41" s="224">
        <f t="shared" si="12"/>
        <v>0</v>
      </c>
      <c r="I41" s="225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ht="14.25" customHeight="1" x14ac:dyDescent="0.3">
      <c r="A42" s="109"/>
      <c r="B42" s="109"/>
      <c r="C42" s="109"/>
      <c r="D42" s="109"/>
      <c r="E42" s="109"/>
      <c r="F42" s="109"/>
      <c r="G42" s="215">
        <f>L8</f>
        <v>4.2434033796110847E-6</v>
      </c>
      <c r="H42" s="216">
        <f t="shared" si="12"/>
        <v>2.8011239953970074E-3</v>
      </c>
      <c r="I42" s="220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ht="14.25" customHeight="1" x14ac:dyDescent="0.3">
      <c r="A43" s="109"/>
      <c r="B43" s="109"/>
      <c r="C43" s="109"/>
      <c r="D43" s="109"/>
      <c r="E43" s="109"/>
      <c r="F43" s="109"/>
      <c r="G43" s="215">
        <f>L13</f>
        <v>8.6686669040626448E-6</v>
      </c>
      <c r="H43" s="216">
        <f t="shared" si="12"/>
        <v>5.722296162025315E-3</v>
      </c>
      <c r="I43" s="220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ht="14.25" customHeight="1" x14ac:dyDescent="0.3">
      <c r="A44" s="109"/>
      <c r="B44" s="109"/>
      <c r="C44" s="109"/>
      <c r="D44" s="109"/>
      <c r="E44" s="109"/>
      <c r="F44" s="109"/>
      <c r="G44" s="221">
        <f>L18</f>
        <v>1.4077702882028754E-3</v>
      </c>
      <c r="H44" s="222">
        <f t="shared" si="12"/>
        <v>0.92928689109293416</v>
      </c>
      <c r="I44" s="246" t="s">
        <v>248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ht="14.25" customHeight="1" x14ac:dyDescent="0.3">
      <c r="A45" s="109"/>
      <c r="B45" s="109"/>
      <c r="C45" s="109"/>
      <c r="D45" s="109"/>
      <c r="E45" s="109"/>
      <c r="F45" s="109"/>
      <c r="G45" s="217">
        <f>Q13</f>
        <v>0</v>
      </c>
      <c r="H45" s="216">
        <f t="shared" si="12"/>
        <v>0</v>
      </c>
      <c r="I45" s="220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ht="14.25" customHeight="1" x14ac:dyDescent="0.3">
      <c r="A46" s="109"/>
      <c r="B46" s="109"/>
      <c r="C46" s="109"/>
      <c r="D46" s="109"/>
      <c r="E46" s="109"/>
      <c r="F46" s="109"/>
      <c r="G46" s="217">
        <f>Q14</f>
        <v>3.7516452056544363E-5</v>
      </c>
      <c r="H46" s="216">
        <f t="shared" si="12"/>
        <v>2.4765082335250283E-2</v>
      </c>
      <c r="I46" s="220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ht="14.25" customHeight="1" x14ac:dyDescent="0.3">
      <c r="A47" s="109"/>
      <c r="B47" s="109"/>
      <c r="C47" s="109"/>
      <c r="D47" s="109"/>
      <c r="E47" s="109"/>
      <c r="F47" s="109"/>
      <c r="G47" s="215">
        <f>U18</f>
        <v>1.8669395364377965E-9</v>
      </c>
      <c r="H47" s="216">
        <f t="shared" si="12"/>
        <v>1.2323902928009105E-6</v>
      </c>
      <c r="I47" s="220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ht="14.25" customHeight="1" x14ac:dyDescent="0.3">
      <c r="A48" s="109"/>
      <c r="B48" s="109"/>
      <c r="C48" s="109"/>
      <c r="D48" s="109"/>
      <c r="E48" s="109"/>
      <c r="F48" s="109"/>
      <c r="G48" s="215">
        <f>Z8</f>
        <v>9.236905611232716E-12</v>
      </c>
      <c r="H48" s="216">
        <f t="shared" si="12"/>
        <v>6.097397686762599E-9</v>
      </c>
      <c r="I48" s="220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ht="14.25" customHeight="1" x14ac:dyDescent="0.3">
      <c r="A49" s="109"/>
      <c r="B49" s="109"/>
      <c r="C49" s="109"/>
      <c r="D49" s="109"/>
      <c r="E49" s="109"/>
      <c r="F49" s="109"/>
      <c r="G49" s="215">
        <f t="shared" ref="G49:G50" si="14">Z9</f>
        <v>1.1506482102413494E-9</v>
      </c>
      <c r="H49" s="216">
        <f t="shared" si="12"/>
        <v>7.5955737025949865E-7</v>
      </c>
      <c r="I49" s="220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ht="14.25" customHeight="1" x14ac:dyDescent="0.3">
      <c r="A50" s="109"/>
      <c r="B50" s="109"/>
      <c r="C50" s="109"/>
      <c r="D50" s="109"/>
      <c r="E50" s="109"/>
      <c r="F50" s="109"/>
      <c r="G50" s="215">
        <f t="shared" si="14"/>
        <v>1.910250499765542E-8</v>
      </c>
      <c r="H50" s="216">
        <f t="shared" si="12"/>
        <v>1.2609804049792691E-5</v>
      </c>
      <c r="I50" s="220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ht="14.25" customHeight="1" x14ac:dyDescent="0.3">
      <c r="A51" s="109"/>
      <c r="B51" s="109"/>
      <c r="C51" s="109"/>
      <c r="D51" s="109"/>
      <c r="E51" s="109"/>
      <c r="F51" s="109"/>
      <c r="G51" s="215">
        <f>Z13</f>
        <v>1.8869678605803978E-11</v>
      </c>
      <c r="H51" s="216">
        <f t="shared" si="12"/>
        <v>1.2456112417243596E-8</v>
      </c>
      <c r="I51" s="220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ht="14.25" customHeight="1" x14ac:dyDescent="0.3">
      <c r="A52" s="109"/>
      <c r="B52" s="109"/>
      <c r="C52" s="109"/>
      <c r="D52" s="109"/>
      <c r="E52" s="109"/>
      <c r="F52" s="109"/>
      <c r="G52" s="215">
        <f t="shared" ref="G52:G53" si="15">Z14</f>
        <v>2.350609915207328E-9</v>
      </c>
      <c r="H52" s="216">
        <f t="shared" si="12"/>
        <v>1.5516671992444042E-6</v>
      </c>
      <c r="I52" s="220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ht="14.25" customHeight="1" x14ac:dyDescent="0.3">
      <c r="A53" s="109"/>
      <c r="B53" s="109"/>
      <c r="C53" s="109"/>
      <c r="D53" s="109"/>
      <c r="E53" s="109"/>
      <c r="F53" s="109"/>
      <c r="G53" s="215">
        <f t="shared" si="15"/>
        <v>3.9023688780924645E-8</v>
      </c>
      <c r="H53" s="216">
        <f t="shared" si="12"/>
        <v>2.5760028273147929E-5</v>
      </c>
      <c r="I53" s="220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ht="14.25" customHeight="1" x14ac:dyDescent="0.3">
      <c r="A54" s="109"/>
      <c r="B54" s="109"/>
      <c r="C54" s="109"/>
      <c r="D54" s="109"/>
      <c r="E54" s="109"/>
      <c r="F54" s="109"/>
      <c r="G54" s="215">
        <f>Z18</f>
        <v>3.0643896210545097E-9</v>
      </c>
      <c r="H54" s="216">
        <f t="shared" si="12"/>
        <v>2.0228421695719259E-6</v>
      </c>
      <c r="I54" s="220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ht="14.25" customHeight="1" x14ac:dyDescent="0.3">
      <c r="A55" s="109"/>
      <c r="B55" s="109"/>
      <c r="C55" s="109"/>
      <c r="D55" s="109"/>
      <c r="E55" s="109"/>
      <c r="F55" s="109"/>
      <c r="G55" s="215">
        <f t="shared" ref="G55:G56" si="16">Z19</f>
        <v>3.8173329698861885E-7</v>
      </c>
      <c r="H55" s="216">
        <f t="shared" si="12"/>
        <v>2.5198695537043993E-4</v>
      </c>
      <c r="I55" s="220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ht="14.25" customHeight="1" x14ac:dyDescent="0.3">
      <c r="A56" s="109"/>
      <c r="B56" s="109"/>
      <c r="C56" s="109"/>
      <c r="D56" s="109"/>
      <c r="E56" s="109"/>
      <c r="F56" s="109"/>
      <c r="G56" s="215">
        <f t="shared" si="16"/>
        <v>6.337351545497174E-6</v>
      </c>
      <c r="H56" s="216">
        <f t="shared" si="12"/>
        <v>4.1833655425389743E-3</v>
      </c>
      <c r="I56" s="220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ht="14.25" customHeight="1" x14ac:dyDescent="0.3">
      <c r="A57" s="109"/>
      <c r="B57" s="109"/>
      <c r="C57" s="109"/>
      <c r="D57" s="109"/>
      <c r="E57" s="109"/>
      <c r="F57" s="109"/>
      <c r="G57" s="215">
        <f>AE6</f>
        <v>0</v>
      </c>
      <c r="H57" s="216">
        <f t="shared" si="12"/>
        <v>0</v>
      </c>
      <c r="I57" s="220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ht="14.25" customHeight="1" x14ac:dyDescent="0.3">
      <c r="A58" s="109"/>
      <c r="B58" s="109"/>
      <c r="C58" s="109"/>
      <c r="D58" s="109"/>
      <c r="E58" s="109"/>
      <c r="F58" s="109"/>
      <c r="G58" s="215">
        <f>AJ22</f>
        <v>1.874480809301511E-7</v>
      </c>
      <c r="H58" s="216">
        <f t="shared" si="12"/>
        <v>1.2373683819629931E-4</v>
      </c>
      <c r="I58" s="22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ht="14.25" customHeight="1" x14ac:dyDescent="0.3">
      <c r="A59" s="109"/>
      <c r="B59" s="109"/>
      <c r="C59" s="109"/>
      <c r="D59" s="109"/>
      <c r="E59" s="109"/>
      <c r="F59" s="109"/>
      <c r="G59" s="215">
        <f t="shared" ref="G59:G64" si="17">AJ23</f>
        <v>0</v>
      </c>
      <c r="H59" s="216">
        <f t="shared" si="12"/>
        <v>0</v>
      </c>
      <c r="I59" s="220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ht="14.25" customHeight="1" x14ac:dyDescent="0.3">
      <c r="A60" s="109"/>
      <c r="B60" s="109"/>
      <c r="C60" s="109"/>
      <c r="D60" s="109"/>
      <c r="E60" s="109"/>
      <c r="F60" s="109"/>
      <c r="G60" s="215">
        <f t="shared" si="17"/>
        <v>8.4542294498117701E-11</v>
      </c>
      <c r="H60" s="216">
        <f t="shared" si="12"/>
        <v>5.5807432987033693E-8</v>
      </c>
      <c r="I60" s="220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ht="14.25" customHeight="1" x14ac:dyDescent="0.3">
      <c r="A61" s="109"/>
      <c r="B61" s="109"/>
      <c r="C61" s="109"/>
      <c r="D61" s="109"/>
      <c r="E61" s="109"/>
      <c r="F61" s="109"/>
      <c r="G61" s="215">
        <f t="shared" si="17"/>
        <v>8.8717028424326272E-8</v>
      </c>
      <c r="H61" s="216">
        <f t="shared" si="12"/>
        <v>5.8563227411690195E-5</v>
      </c>
      <c r="I61" s="220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ht="14.25" customHeight="1" x14ac:dyDescent="0.3">
      <c r="A62" s="109"/>
      <c r="B62" s="109"/>
      <c r="C62" s="109"/>
      <c r="D62" s="109"/>
      <c r="E62" s="109"/>
      <c r="F62" s="109"/>
      <c r="G62" s="215">
        <f t="shared" si="17"/>
        <v>5.7382929023393977E-7</v>
      </c>
      <c r="H62" s="216">
        <f t="shared" si="12"/>
        <v>3.787919390032725E-4</v>
      </c>
      <c r="I62" s="220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ht="14.25" customHeight="1" x14ac:dyDescent="0.3">
      <c r="A63" s="109"/>
      <c r="B63" s="109"/>
      <c r="C63" s="109"/>
      <c r="D63" s="109"/>
      <c r="E63" s="109"/>
      <c r="F63" s="109"/>
      <c r="G63" s="215">
        <f t="shared" si="17"/>
        <v>5.9312687115446342E-10</v>
      </c>
      <c r="H63" s="216">
        <f t="shared" si="12"/>
        <v>3.9153051512575949E-7</v>
      </c>
      <c r="I63" s="220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ht="14.25" customHeight="1" x14ac:dyDescent="0.3">
      <c r="A64" s="109"/>
      <c r="B64" s="109"/>
      <c r="C64" s="109"/>
      <c r="D64" s="109"/>
      <c r="E64" s="109"/>
      <c r="F64" s="109"/>
      <c r="G64" s="215">
        <f t="shared" si="17"/>
        <v>1.2639084797825142E-9</v>
      </c>
      <c r="H64" s="216">
        <f t="shared" si="12"/>
        <v>8.3432190013220822E-7</v>
      </c>
      <c r="I64" s="220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ht="14.25" customHeight="1" x14ac:dyDescent="0.3">
      <c r="A65" s="109"/>
      <c r="B65" s="109"/>
      <c r="C65" s="109"/>
      <c r="D65" s="109"/>
      <c r="E65" s="109"/>
      <c r="F65" s="109"/>
      <c r="G65" s="223">
        <f>AO13</f>
        <v>4.9044434386467273E-5</v>
      </c>
      <c r="H65" s="224">
        <f t="shared" si="12"/>
        <v>3.2374848608712439E-2</v>
      </c>
      <c r="I65" s="225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ht="14.25" customHeight="1" x14ac:dyDescent="0.3">
      <c r="A66" s="109"/>
      <c r="B66" s="109"/>
      <c r="C66" s="109"/>
      <c r="D66" s="109"/>
      <c r="E66" s="109"/>
      <c r="F66" s="109"/>
      <c r="G66" s="215">
        <f t="shared" ref="G66:G67" si="18">AO14</f>
        <v>0</v>
      </c>
      <c r="H66" s="216">
        <f t="shared" si="12"/>
        <v>0</v>
      </c>
      <c r="I66" s="220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ht="14.25" customHeight="1" x14ac:dyDescent="0.3">
      <c r="A67" s="109"/>
      <c r="B67" s="109"/>
      <c r="C67" s="109"/>
      <c r="D67" s="109"/>
      <c r="E67" s="109"/>
      <c r="F67" s="109"/>
      <c r="G67" s="215">
        <f t="shared" si="18"/>
        <v>0</v>
      </c>
      <c r="H67" s="216">
        <f t="shared" si="12"/>
        <v>0</v>
      </c>
      <c r="I67" s="220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ht="14.25" customHeight="1" x14ac:dyDescent="0.3">
      <c r="A68" s="109"/>
      <c r="B68" s="109"/>
      <c r="C68" s="109"/>
      <c r="D68" s="109"/>
      <c r="E68" s="109"/>
      <c r="F68" s="109"/>
      <c r="G68" s="215">
        <f>AT6</f>
        <v>4.5429067465025925E-9</v>
      </c>
      <c r="H68" s="216">
        <f t="shared" si="12"/>
        <v>2.9988299386342226E-6</v>
      </c>
      <c r="I68" s="220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ht="14.25" customHeight="1" x14ac:dyDescent="0.3">
      <c r="A69" s="109"/>
      <c r="B69" s="109"/>
      <c r="C69" s="109"/>
      <c r="D69" s="109"/>
      <c r="E69" s="109"/>
      <c r="F69" s="109"/>
      <c r="G69" s="215">
        <f>AT13</f>
        <v>1.3250394808676109E-9</v>
      </c>
      <c r="H69" s="216">
        <f t="shared" si="12"/>
        <v>8.7467524358875201E-7</v>
      </c>
      <c r="I69" s="220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ht="14.25" customHeight="1" x14ac:dyDescent="0.3">
      <c r="A70" s="109"/>
      <c r="B70" s="109"/>
      <c r="C70" s="109"/>
      <c r="D70" s="109"/>
      <c r="E70" s="109"/>
      <c r="F70" s="109"/>
      <c r="G70" s="215">
        <f>AT14</f>
        <v>4.8712461309020949E-10</v>
      </c>
      <c r="H70" s="216">
        <f t="shared" si="12"/>
        <v>3.2155709000743817E-7</v>
      </c>
      <c r="I70" s="220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ht="14.25" customHeight="1" x14ac:dyDescent="0.3">
      <c r="A71" s="109"/>
      <c r="B71" s="109"/>
      <c r="C71" s="109"/>
      <c r="D71" s="109"/>
      <c r="E71" s="109"/>
      <c r="F71" s="109"/>
      <c r="G71" s="218">
        <f>SUM(G32:G70)</f>
        <v>1.5148930881260974E-3</v>
      </c>
      <c r="H71" s="219">
        <f>SUM(H32:H70)</f>
        <v>0.99999999999999967</v>
      </c>
      <c r="I71" s="110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1:47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1:47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1:47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1:47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1:47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47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47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47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1:47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1:47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1:47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1:47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1:47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1:47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1:47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1:47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1:47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1:47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1:47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1:47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1:47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1:47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1:47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1:47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1:47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1:47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1:47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1:47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1:47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1:47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1:47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1:47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1:47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1:47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1:47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1:47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1:47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1:47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1:47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1:47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1:47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1:47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  <row r="123" spans="1:47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</row>
    <row r="124" spans="1:47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</row>
    <row r="125" spans="1:47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</row>
    <row r="126" spans="1:47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</row>
    <row r="127" spans="1:47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</row>
    <row r="128" spans="1:47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</row>
    <row r="129" spans="1:47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</row>
    <row r="130" spans="1:47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</row>
    <row r="131" spans="1:47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</row>
    <row r="132" spans="1:47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</row>
    <row r="133" spans="1:47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</row>
    <row r="134" spans="1:47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</row>
    <row r="135" spans="1:47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</row>
    <row r="136" spans="1:47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</row>
    <row r="137" spans="1:47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</row>
    <row r="138" spans="1:47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</row>
    <row r="139" spans="1:47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</row>
    <row r="140" spans="1:47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</row>
    <row r="141" spans="1:47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</row>
    <row r="142" spans="1:47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</row>
    <row r="143" spans="1:47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</row>
    <row r="144" spans="1:47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</row>
    <row r="145" spans="1:47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</row>
    <row r="146" spans="1:47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</row>
    <row r="147" spans="1:47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</row>
    <row r="148" spans="1:47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</row>
    <row r="149" spans="1:47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</row>
    <row r="150" spans="1:47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</row>
    <row r="151" spans="1:47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</row>
    <row r="152" spans="1:47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</row>
    <row r="153" spans="1:47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</row>
    <row r="154" spans="1:47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</row>
    <row r="155" spans="1:47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</row>
    <row r="156" spans="1:47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</row>
    <row r="157" spans="1:47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</row>
    <row r="158" spans="1:47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</row>
    <row r="159" spans="1:47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</row>
    <row r="160" spans="1:47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</row>
    <row r="161" spans="1:47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</row>
    <row r="162" spans="1:47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</row>
    <row r="163" spans="1:47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</row>
    <row r="164" spans="1:47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</row>
    <row r="165" spans="1:47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</row>
    <row r="166" spans="1:47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</row>
    <row r="167" spans="1:47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</row>
    <row r="168" spans="1:47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</row>
    <row r="169" spans="1:47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</row>
    <row r="170" spans="1:47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</row>
    <row r="171" spans="1:47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</row>
    <row r="172" spans="1:47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</row>
    <row r="173" spans="1:47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</row>
    <row r="174" spans="1:47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</row>
    <row r="175" spans="1:47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</row>
    <row r="176" spans="1:47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</row>
    <row r="177" spans="1:47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</row>
    <row r="178" spans="1:47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</row>
    <row r="179" spans="1:47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</row>
    <row r="180" spans="1:47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</row>
    <row r="181" spans="1:47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</row>
    <row r="182" spans="1:47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</row>
    <row r="183" spans="1:47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</row>
    <row r="184" spans="1:47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</row>
    <row r="185" spans="1:47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</row>
    <row r="186" spans="1:47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</row>
    <row r="187" spans="1:47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</row>
    <row r="188" spans="1:47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</row>
    <row r="189" spans="1:47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</row>
    <row r="190" spans="1:47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</row>
    <row r="191" spans="1:47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</row>
    <row r="192" spans="1:47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</row>
    <row r="193" spans="1:47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</row>
    <row r="194" spans="1:47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</row>
    <row r="195" spans="1:47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</row>
    <row r="196" spans="1:47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</row>
    <row r="197" spans="1:47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</row>
    <row r="198" spans="1:47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</row>
    <row r="199" spans="1:47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</row>
    <row r="200" spans="1:47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</row>
    <row r="201" spans="1:47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</row>
    <row r="202" spans="1:47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</row>
    <row r="203" spans="1:47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</row>
    <row r="204" spans="1:47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</row>
    <row r="205" spans="1:47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</row>
    <row r="206" spans="1:47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</row>
    <row r="207" spans="1:47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</row>
    <row r="208" spans="1:47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</row>
    <row r="209" spans="1:47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</row>
    <row r="210" spans="1:47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</row>
    <row r="211" spans="1:47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</row>
    <row r="212" spans="1:47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</row>
    <row r="213" spans="1:47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</row>
    <row r="214" spans="1:47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</row>
    <row r="215" spans="1:47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</row>
    <row r="216" spans="1:47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</row>
    <row r="217" spans="1:47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</row>
    <row r="218" spans="1:47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</row>
    <row r="219" spans="1:47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</row>
    <row r="220" spans="1:47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</row>
    <row r="221" spans="1:47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</row>
    <row r="222" spans="1:47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</row>
    <row r="223" spans="1:47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</row>
    <row r="224" spans="1:47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</row>
    <row r="225" spans="1:47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</row>
    <row r="226" spans="1:47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</row>
    <row r="227" spans="1:47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</row>
    <row r="228" spans="1:47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</row>
    <row r="229" spans="1:47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</row>
    <row r="230" spans="1:47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</row>
    <row r="231" spans="1:47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</row>
    <row r="232" spans="1:47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</row>
    <row r="233" spans="1:47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</row>
    <row r="234" spans="1:47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</row>
    <row r="235" spans="1:47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</row>
    <row r="236" spans="1:47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</row>
    <row r="237" spans="1:47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</row>
    <row r="238" spans="1:47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</row>
    <row r="239" spans="1:47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</row>
    <row r="240" spans="1:47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</row>
    <row r="241" spans="1:47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</row>
    <row r="242" spans="1:47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</row>
    <row r="243" spans="1:47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</row>
    <row r="244" spans="1:47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</row>
    <row r="245" spans="1:47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</row>
    <row r="246" spans="1:47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</row>
    <row r="247" spans="1:47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</row>
    <row r="248" spans="1:47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</row>
    <row r="249" spans="1:47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</row>
    <row r="250" spans="1:47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</row>
    <row r="251" spans="1:47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</row>
    <row r="252" spans="1:47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</row>
    <row r="253" spans="1:47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</row>
    <row r="254" spans="1:47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</row>
    <row r="255" spans="1:47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</row>
    <row r="256" spans="1:47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</row>
    <row r="257" spans="1:47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</row>
    <row r="258" spans="1:47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</row>
    <row r="259" spans="1:47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</row>
    <row r="260" spans="1:47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</row>
    <row r="261" spans="1:47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</row>
    <row r="262" spans="1:47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</row>
    <row r="263" spans="1:47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</row>
    <row r="264" spans="1:47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</row>
    <row r="265" spans="1:47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</row>
    <row r="266" spans="1:47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</row>
    <row r="267" spans="1:47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</row>
    <row r="268" spans="1:47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</row>
    <row r="269" spans="1:47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</row>
    <row r="270" spans="1:47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</row>
    <row r="271" spans="1:47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</row>
    <row r="272" spans="1:47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</row>
    <row r="273" spans="1:47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</row>
    <row r="274" spans="1:47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</row>
    <row r="275" spans="1:47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</row>
    <row r="276" spans="1:47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</row>
    <row r="277" spans="1:47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</row>
    <row r="278" spans="1:47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</row>
    <row r="279" spans="1:47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</row>
    <row r="280" spans="1:47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</row>
    <row r="281" spans="1:47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</row>
    <row r="282" spans="1:47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</row>
    <row r="283" spans="1:47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</row>
    <row r="284" spans="1:47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</row>
    <row r="285" spans="1:47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</row>
    <row r="286" spans="1:47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</row>
    <row r="287" spans="1:47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</row>
    <row r="288" spans="1:47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</row>
    <row r="289" spans="1:47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</row>
    <row r="290" spans="1:47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</row>
    <row r="291" spans="1:47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</row>
    <row r="292" spans="1:47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</row>
    <row r="293" spans="1:47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</row>
    <row r="294" spans="1:47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</row>
    <row r="295" spans="1:47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</row>
    <row r="296" spans="1:47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</row>
    <row r="297" spans="1:47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</row>
    <row r="298" spans="1:47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</row>
    <row r="299" spans="1:47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</row>
    <row r="300" spans="1:47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</row>
    <row r="301" spans="1:47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</row>
    <row r="302" spans="1:47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</row>
    <row r="303" spans="1:47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</row>
    <row r="304" spans="1:47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</row>
    <row r="305" spans="1:47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</row>
    <row r="306" spans="1:47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</row>
    <row r="307" spans="1:47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</row>
    <row r="308" spans="1:47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</row>
    <row r="309" spans="1:47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</row>
    <row r="310" spans="1:47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</row>
    <row r="311" spans="1:47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</row>
    <row r="312" spans="1:47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</row>
    <row r="313" spans="1:47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</row>
    <row r="314" spans="1:47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</row>
    <row r="315" spans="1:47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</row>
    <row r="316" spans="1:47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</row>
    <row r="317" spans="1:47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</row>
    <row r="318" spans="1:47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</row>
    <row r="319" spans="1:47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</row>
    <row r="320" spans="1:47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</row>
    <row r="321" spans="1:47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</row>
    <row r="322" spans="1:47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</row>
    <row r="323" spans="1:47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</row>
    <row r="324" spans="1:47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</row>
    <row r="325" spans="1:47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</row>
    <row r="326" spans="1:47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</row>
    <row r="327" spans="1:47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</row>
    <row r="328" spans="1:47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</row>
    <row r="329" spans="1:47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</row>
    <row r="330" spans="1:47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</row>
    <row r="331" spans="1:47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</row>
    <row r="332" spans="1:47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</row>
    <row r="333" spans="1:47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</row>
    <row r="334" spans="1:47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</row>
    <row r="335" spans="1:47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</row>
    <row r="336" spans="1:47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</row>
    <row r="337" spans="1:47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</row>
    <row r="338" spans="1:47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</row>
    <row r="339" spans="1:47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</row>
    <row r="340" spans="1:47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</row>
    <row r="341" spans="1:47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</row>
    <row r="342" spans="1:47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</row>
    <row r="343" spans="1:47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</row>
    <row r="344" spans="1:47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</row>
    <row r="345" spans="1:47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</row>
    <row r="346" spans="1:47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</row>
    <row r="347" spans="1:47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</row>
    <row r="348" spans="1:47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</row>
    <row r="349" spans="1:47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</row>
    <row r="350" spans="1:47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</row>
    <row r="351" spans="1:47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</row>
    <row r="352" spans="1:47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</row>
    <row r="353" spans="1:47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</row>
    <row r="354" spans="1:47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</row>
    <row r="355" spans="1:47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</row>
    <row r="356" spans="1:47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</row>
    <row r="357" spans="1:47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</row>
    <row r="358" spans="1:47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</row>
    <row r="359" spans="1:47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</row>
    <row r="360" spans="1:47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</row>
    <row r="361" spans="1:47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</row>
    <row r="362" spans="1:47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</row>
    <row r="363" spans="1:47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</row>
    <row r="364" spans="1:47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</row>
    <row r="365" spans="1:47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</row>
    <row r="366" spans="1:47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</row>
    <row r="367" spans="1:47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</row>
    <row r="368" spans="1:47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</row>
    <row r="369" spans="1:47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</row>
    <row r="370" spans="1:47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</row>
    <row r="371" spans="1:47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</row>
    <row r="372" spans="1:47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</row>
    <row r="373" spans="1:47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</row>
    <row r="374" spans="1:47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</row>
    <row r="375" spans="1:47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</row>
    <row r="376" spans="1:47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</row>
    <row r="377" spans="1:47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</row>
    <row r="378" spans="1:47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</row>
    <row r="379" spans="1:47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</row>
    <row r="380" spans="1:47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</row>
    <row r="381" spans="1:47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</row>
    <row r="382" spans="1:47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</row>
    <row r="383" spans="1:47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</row>
    <row r="384" spans="1:47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</row>
    <row r="385" spans="1:47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</row>
    <row r="386" spans="1:47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</row>
    <row r="387" spans="1:47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</row>
    <row r="388" spans="1:47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</row>
    <row r="389" spans="1:47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</row>
    <row r="390" spans="1:47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</row>
    <row r="391" spans="1:47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</row>
    <row r="392" spans="1:47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</row>
    <row r="393" spans="1:47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</row>
    <row r="394" spans="1:47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</row>
    <row r="395" spans="1:47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</row>
    <row r="396" spans="1:47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</row>
    <row r="397" spans="1:47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</row>
    <row r="398" spans="1:47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</row>
    <row r="399" spans="1:47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</row>
    <row r="400" spans="1:47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</row>
    <row r="401" spans="1:47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</row>
    <row r="402" spans="1:47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</row>
    <row r="403" spans="1:47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</row>
    <row r="404" spans="1:47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</row>
    <row r="405" spans="1:47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</row>
    <row r="406" spans="1:47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</row>
    <row r="407" spans="1:47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</row>
    <row r="408" spans="1:47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</row>
    <row r="409" spans="1:47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</row>
    <row r="410" spans="1:47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</row>
    <row r="411" spans="1:47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</row>
    <row r="412" spans="1:47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</row>
    <row r="413" spans="1:47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</row>
    <row r="414" spans="1:47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</row>
    <row r="415" spans="1:47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</row>
    <row r="416" spans="1:47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</row>
    <row r="417" spans="1:47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</row>
    <row r="418" spans="1:47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</row>
    <row r="419" spans="1:47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</row>
    <row r="420" spans="1:47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</row>
    <row r="421" spans="1:47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</row>
    <row r="422" spans="1:47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1:47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</row>
    <row r="424" spans="1:47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</row>
    <row r="425" spans="1:47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</row>
    <row r="426" spans="1:47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</row>
    <row r="427" spans="1:47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</row>
    <row r="428" spans="1:47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</row>
    <row r="429" spans="1:47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</row>
    <row r="430" spans="1:47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</row>
    <row r="431" spans="1:47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</row>
    <row r="432" spans="1:47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</row>
    <row r="433" spans="1:47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</row>
    <row r="434" spans="1:47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</row>
    <row r="435" spans="1:47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</row>
    <row r="436" spans="1:47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</row>
    <row r="437" spans="1:47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</row>
    <row r="438" spans="1:47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</row>
    <row r="439" spans="1:47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</row>
    <row r="440" spans="1:47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</row>
    <row r="441" spans="1:47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</row>
    <row r="442" spans="1:47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</row>
    <row r="443" spans="1:47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</row>
    <row r="444" spans="1:47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</row>
    <row r="445" spans="1:47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</row>
    <row r="446" spans="1:47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</row>
    <row r="447" spans="1:47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</row>
    <row r="448" spans="1:47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</row>
    <row r="449" spans="1:47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</row>
    <row r="450" spans="1:47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</row>
    <row r="451" spans="1:47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</row>
    <row r="452" spans="1:47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</row>
    <row r="453" spans="1:47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</row>
    <row r="454" spans="1:47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</row>
    <row r="455" spans="1:47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</row>
    <row r="456" spans="1:47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</row>
    <row r="457" spans="1:47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</row>
    <row r="458" spans="1:47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</row>
    <row r="459" spans="1:47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</row>
    <row r="460" spans="1:47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</row>
    <row r="461" spans="1:47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</row>
    <row r="462" spans="1:47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</row>
    <row r="463" spans="1:47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</row>
    <row r="464" spans="1:47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</row>
    <row r="465" spans="1:47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</row>
    <row r="466" spans="1:47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</row>
    <row r="467" spans="1:47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</row>
    <row r="468" spans="1:47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</row>
    <row r="469" spans="1:47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</row>
    <row r="470" spans="1:47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</row>
    <row r="471" spans="1:47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</row>
    <row r="472" spans="1:47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</row>
    <row r="473" spans="1:47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</row>
    <row r="474" spans="1:47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</row>
    <row r="475" spans="1:47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</row>
    <row r="476" spans="1:47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</row>
    <row r="477" spans="1:47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</row>
    <row r="478" spans="1:47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</row>
    <row r="479" spans="1:47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</row>
    <row r="480" spans="1:47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</row>
    <row r="481" spans="1:47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</row>
    <row r="482" spans="1:47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</row>
    <row r="483" spans="1:47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</row>
    <row r="484" spans="1:47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</row>
    <row r="485" spans="1:47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</row>
    <row r="486" spans="1:47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</row>
    <row r="487" spans="1:47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</row>
    <row r="488" spans="1:47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</row>
    <row r="489" spans="1:47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</row>
    <row r="490" spans="1:47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</row>
    <row r="491" spans="1:47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</row>
    <row r="492" spans="1:47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</row>
    <row r="493" spans="1:47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</row>
    <row r="494" spans="1:47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</row>
    <row r="495" spans="1:47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</row>
    <row r="496" spans="1:47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</row>
    <row r="497" spans="1:47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</row>
    <row r="498" spans="1:47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</row>
    <row r="499" spans="1:47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</row>
    <row r="500" spans="1:47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</row>
    <row r="501" spans="1:47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</row>
    <row r="502" spans="1:47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</row>
    <row r="503" spans="1:47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</row>
    <row r="504" spans="1:47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</row>
    <row r="505" spans="1:47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</row>
    <row r="506" spans="1:47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</row>
    <row r="507" spans="1:47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</row>
    <row r="508" spans="1:47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</row>
    <row r="509" spans="1:47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</row>
    <row r="510" spans="1:47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</row>
    <row r="511" spans="1:47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</row>
    <row r="512" spans="1:47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</row>
    <row r="513" spans="1:47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</row>
    <row r="514" spans="1:47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</row>
    <row r="515" spans="1:47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</row>
    <row r="516" spans="1:47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</row>
    <row r="517" spans="1:47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</row>
    <row r="518" spans="1:47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</row>
    <row r="519" spans="1:47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</row>
    <row r="520" spans="1:47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</row>
    <row r="521" spans="1:47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</row>
    <row r="522" spans="1:47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</row>
    <row r="523" spans="1:47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</row>
    <row r="524" spans="1:47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</row>
    <row r="525" spans="1:47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</row>
    <row r="526" spans="1:47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</row>
    <row r="527" spans="1:47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</row>
    <row r="528" spans="1:47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</row>
    <row r="529" spans="1:47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</row>
    <row r="530" spans="1:47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</row>
    <row r="531" spans="1:47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</row>
    <row r="532" spans="1:47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</row>
    <row r="533" spans="1:47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</row>
    <row r="534" spans="1:47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</row>
    <row r="535" spans="1:47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</row>
    <row r="536" spans="1:47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</row>
    <row r="537" spans="1:47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</row>
    <row r="538" spans="1:47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</row>
    <row r="539" spans="1:47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</row>
    <row r="540" spans="1:47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</row>
    <row r="541" spans="1:47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</row>
    <row r="542" spans="1:47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</row>
    <row r="543" spans="1:47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</row>
    <row r="544" spans="1:47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</row>
    <row r="545" spans="1:47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</row>
    <row r="546" spans="1:47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</row>
    <row r="547" spans="1:47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</row>
    <row r="548" spans="1:47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</row>
    <row r="549" spans="1:47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</row>
    <row r="550" spans="1:47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</row>
    <row r="551" spans="1:47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</row>
    <row r="552" spans="1:47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</row>
    <row r="553" spans="1:47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</row>
    <row r="554" spans="1:47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</row>
    <row r="555" spans="1:47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</row>
    <row r="556" spans="1:47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</row>
    <row r="557" spans="1:47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</row>
    <row r="558" spans="1:47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</row>
    <row r="559" spans="1:47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</row>
    <row r="560" spans="1:47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</row>
    <row r="561" spans="1:47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</row>
    <row r="562" spans="1:47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</row>
    <row r="563" spans="1:47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</row>
    <row r="564" spans="1:47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</row>
    <row r="565" spans="1:47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</row>
    <row r="566" spans="1:47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</row>
    <row r="567" spans="1:47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</row>
    <row r="568" spans="1:47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</row>
    <row r="569" spans="1:47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</row>
    <row r="570" spans="1:47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</row>
    <row r="571" spans="1:47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</row>
    <row r="572" spans="1:47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</row>
    <row r="573" spans="1:47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</row>
    <row r="574" spans="1:47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</row>
    <row r="575" spans="1:47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</row>
    <row r="576" spans="1:47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</row>
    <row r="577" spans="1:47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</row>
    <row r="578" spans="1:47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</row>
    <row r="579" spans="1:47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</row>
    <row r="580" spans="1:47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</row>
    <row r="581" spans="1:47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</row>
    <row r="582" spans="1:47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</row>
    <row r="583" spans="1:47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</row>
    <row r="584" spans="1:47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</row>
    <row r="585" spans="1:47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</row>
    <row r="586" spans="1:47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</row>
    <row r="587" spans="1:47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</row>
    <row r="588" spans="1:47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</row>
    <row r="589" spans="1:47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</row>
    <row r="590" spans="1:47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</row>
    <row r="591" spans="1:47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</row>
    <row r="592" spans="1:47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</row>
    <row r="593" spans="1:47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</row>
    <row r="594" spans="1:47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</row>
    <row r="595" spans="1:47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</row>
    <row r="596" spans="1:47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</row>
    <row r="597" spans="1:47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</row>
    <row r="598" spans="1:47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</row>
    <row r="599" spans="1:47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</row>
    <row r="600" spans="1:47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</row>
    <row r="601" spans="1:47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</row>
    <row r="602" spans="1:47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</row>
    <row r="603" spans="1:47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</row>
    <row r="604" spans="1:47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</row>
    <row r="605" spans="1:47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</row>
    <row r="606" spans="1:47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</row>
    <row r="607" spans="1:47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</row>
    <row r="608" spans="1:47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</row>
    <row r="609" spans="1:47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</row>
    <row r="610" spans="1:47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</row>
    <row r="611" spans="1:47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</row>
    <row r="612" spans="1:47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</row>
    <row r="613" spans="1:47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</row>
    <row r="614" spans="1:47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</row>
    <row r="615" spans="1:47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</row>
    <row r="616" spans="1:47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</row>
    <row r="617" spans="1:47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</row>
    <row r="618" spans="1:47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</row>
    <row r="619" spans="1:47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</row>
    <row r="620" spans="1:47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</row>
    <row r="621" spans="1:47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</row>
    <row r="622" spans="1:47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</row>
    <row r="623" spans="1:47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</row>
    <row r="624" spans="1:47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</row>
    <row r="625" spans="1:47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</row>
    <row r="626" spans="1:47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</row>
    <row r="627" spans="1:47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</row>
    <row r="628" spans="1:47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</row>
    <row r="629" spans="1:47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</row>
    <row r="630" spans="1:47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</row>
    <row r="631" spans="1:47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</row>
    <row r="632" spans="1:47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</row>
    <row r="633" spans="1:47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</row>
    <row r="634" spans="1:47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</row>
    <row r="635" spans="1:47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</row>
    <row r="636" spans="1:47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</row>
    <row r="637" spans="1:47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</row>
    <row r="638" spans="1:47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</row>
    <row r="639" spans="1:47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</row>
    <row r="640" spans="1:47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</row>
    <row r="641" spans="1:47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</row>
    <row r="642" spans="1:47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</row>
    <row r="643" spans="1:47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</row>
    <row r="644" spans="1:47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</row>
    <row r="645" spans="1:47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</row>
    <row r="646" spans="1:47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</row>
    <row r="647" spans="1:47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</row>
    <row r="648" spans="1:47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</row>
    <row r="649" spans="1:47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</row>
    <row r="650" spans="1:47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</row>
    <row r="651" spans="1:47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</row>
    <row r="652" spans="1:47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</row>
    <row r="653" spans="1:47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</row>
    <row r="654" spans="1:47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</row>
    <row r="655" spans="1:47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</row>
    <row r="656" spans="1:47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</row>
    <row r="657" spans="1:47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</row>
    <row r="658" spans="1:47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</row>
    <row r="659" spans="1:47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</row>
    <row r="660" spans="1:47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</row>
    <row r="661" spans="1:47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</row>
    <row r="662" spans="1:47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</row>
    <row r="663" spans="1:47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</row>
    <row r="664" spans="1:47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</row>
    <row r="665" spans="1:47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</row>
    <row r="666" spans="1:47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</row>
    <row r="667" spans="1:47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</row>
    <row r="668" spans="1:47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</row>
    <row r="669" spans="1:47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</row>
    <row r="670" spans="1:47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</row>
    <row r="671" spans="1:47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</row>
    <row r="672" spans="1:47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</row>
    <row r="673" spans="1:47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</row>
    <row r="674" spans="1:47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</row>
    <row r="675" spans="1:47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</row>
    <row r="676" spans="1:47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</row>
    <row r="677" spans="1:47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</row>
    <row r="678" spans="1:47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</row>
    <row r="679" spans="1:47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</row>
    <row r="680" spans="1:47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</row>
    <row r="681" spans="1:47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</row>
    <row r="682" spans="1:47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</row>
    <row r="683" spans="1:47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</row>
    <row r="684" spans="1:47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</row>
    <row r="685" spans="1:47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</row>
    <row r="686" spans="1:47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</row>
    <row r="687" spans="1:47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</row>
    <row r="688" spans="1:47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</row>
    <row r="689" spans="1:47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</row>
    <row r="690" spans="1:47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</row>
    <row r="691" spans="1:47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</row>
    <row r="692" spans="1:47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</row>
    <row r="693" spans="1:47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</row>
    <row r="694" spans="1:47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</row>
    <row r="695" spans="1:47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</row>
    <row r="696" spans="1:47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</row>
    <row r="697" spans="1:47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</row>
    <row r="698" spans="1:47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</row>
    <row r="699" spans="1:47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</row>
    <row r="700" spans="1:47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</row>
    <row r="701" spans="1:47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</row>
    <row r="702" spans="1:47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</row>
    <row r="703" spans="1:47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</row>
    <row r="704" spans="1:47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</row>
    <row r="705" spans="1:47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</row>
    <row r="706" spans="1:47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</row>
    <row r="707" spans="1:47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</row>
    <row r="708" spans="1:47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</row>
    <row r="709" spans="1:47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</row>
    <row r="710" spans="1:47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</row>
    <row r="711" spans="1:47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</row>
    <row r="712" spans="1:47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</row>
    <row r="713" spans="1:47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</row>
    <row r="714" spans="1:47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</row>
    <row r="715" spans="1:47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</row>
    <row r="716" spans="1:47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</row>
    <row r="717" spans="1:47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</row>
    <row r="718" spans="1:47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</row>
    <row r="719" spans="1:47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</row>
    <row r="720" spans="1:47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</row>
    <row r="721" spans="1:47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</row>
    <row r="722" spans="1:47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</row>
    <row r="723" spans="1:47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</row>
    <row r="724" spans="1:47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</row>
    <row r="725" spans="1:47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</row>
    <row r="726" spans="1:47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</row>
    <row r="727" spans="1:47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</row>
    <row r="728" spans="1:47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</row>
    <row r="729" spans="1:47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</row>
    <row r="730" spans="1:47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</row>
    <row r="731" spans="1:47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</row>
    <row r="732" spans="1:47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</row>
    <row r="733" spans="1:47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</row>
    <row r="734" spans="1:47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</row>
    <row r="735" spans="1:47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</row>
    <row r="736" spans="1:47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</row>
    <row r="737" spans="1:47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</row>
    <row r="738" spans="1:47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</row>
    <row r="739" spans="1:47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</row>
    <row r="740" spans="1:47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</row>
    <row r="741" spans="1:47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</row>
    <row r="742" spans="1:47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</row>
    <row r="743" spans="1:47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</row>
    <row r="744" spans="1:47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</row>
    <row r="745" spans="1:47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</row>
    <row r="746" spans="1:47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</row>
    <row r="747" spans="1:47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</row>
    <row r="748" spans="1:47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</row>
    <row r="749" spans="1:47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</row>
    <row r="750" spans="1:47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</row>
    <row r="751" spans="1:47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</row>
    <row r="752" spans="1:47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</row>
    <row r="753" spans="1:47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</row>
    <row r="754" spans="1:47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</row>
    <row r="755" spans="1:47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</row>
    <row r="756" spans="1:47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</row>
    <row r="757" spans="1:47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</row>
    <row r="758" spans="1:47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</row>
    <row r="759" spans="1:47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</row>
    <row r="760" spans="1:47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</row>
    <row r="761" spans="1:47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</row>
    <row r="762" spans="1:47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</row>
    <row r="763" spans="1:47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</row>
    <row r="764" spans="1:47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</row>
    <row r="765" spans="1:47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</row>
    <row r="766" spans="1:47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</row>
    <row r="767" spans="1:47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</row>
    <row r="768" spans="1:47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</row>
    <row r="769" spans="1:47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</row>
    <row r="770" spans="1:47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</row>
    <row r="771" spans="1:47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</row>
    <row r="772" spans="1:47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</row>
    <row r="773" spans="1:47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</row>
    <row r="774" spans="1:47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</row>
    <row r="775" spans="1:47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</row>
    <row r="776" spans="1:47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</row>
    <row r="777" spans="1:47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</row>
    <row r="778" spans="1:47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</row>
    <row r="779" spans="1:47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</row>
    <row r="780" spans="1:47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</row>
    <row r="781" spans="1:47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</row>
    <row r="782" spans="1:47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</row>
    <row r="783" spans="1:47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</row>
    <row r="784" spans="1:47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</row>
    <row r="785" spans="1:47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</row>
    <row r="786" spans="1:47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</row>
    <row r="787" spans="1:47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</row>
    <row r="788" spans="1:47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</row>
    <row r="789" spans="1:47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</row>
    <row r="790" spans="1:47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</row>
    <row r="791" spans="1:47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</row>
    <row r="792" spans="1:47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</row>
    <row r="793" spans="1:47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</row>
    <row r="794" spans="1:47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</row>
    <row r="795" spans="1:47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</row>
    <row r="796" spans="1:47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</row>
    <row r="797" spans="1:47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</row>
    <row r="798" spans="1:47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</row>
    <row r="799" spans="1:47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</row>
    <row r="800" spans="1:47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</row>
    <row r="801" spans="1:47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</row>
    <row r="802" spans="1:47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</row>
    <row r="803" spans="1:47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</row>
    <row r="804" spans="1:47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</row>
    <row r="805" spans="1:47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</row>
    <row r="806" spans="1:47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</row>
    <row r="807" spans="1:47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</row>
    <row r="808" spans="1:47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</row>
    <row r="809" spans="1:47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</row>
    <row r="810" spans="1:47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</row>
    <row r="811" spans="1:47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</row>
    <row r="812" spans="1:47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</row>
    <row r="813" spans="1:47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</row>
    <row r="814" spans="1:47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</row>
    <row r="815" spans="1:47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</row>
    <row r="816" spans="1:47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</row>
    <row r="817" spans="1:47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</row>
    <row r="818" spans="1:47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</row>
    <row r="819" spans="1:47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</row>
    <row r="820" spans="1:47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</row>
    <row r="821" spans="1:47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</row>
    <row r="822" spans="1:47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</row>
    <row r="823" spans="1:47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</row>
    <row r="824" spans="1:47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</row>
    <row r="825" spans="1:47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</row>
    <row r="826" spans="1:47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</row>
    <row r="827" spans="1:47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</row>
    <row r="828" spans="1:47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</row>
    <row r="829" spans="1:47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</row>
    <row r="830" spans="1:47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</row>
    <row r="831" spans="1:47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</row>
    <row r="832" spans="1:47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</row>
    <row r="833" spans="1:47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</row>
    <row r="834" spans="1:47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</row>
    <row r="835" spans="1:47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</row>
    <row r="836" spans="1:47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</row>
    <row r="837" spans="1:47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</row>
    <row r="838" spans="1:47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</row>
    <row r="839" spans="1:47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</row>
    <row r="840" spans="1:47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</row>
    <row r="841" spans="1:47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</row>
    <row r="842" spans="1:47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</row>
    <row r="843" spans="1:47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</row>
    <row r="844" spans="1:47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</row>
    <row r="845" spans="1:47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</row>
    <row r="846" spans="1:47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</row>
    <row r="847" spans="1:47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</row>
    <row r="848" spans="1:47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</row>
    <row r="849" spans="1:47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</row>
    <row r="850" spans="1:47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</row>
    <row r="851" spans="1:47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</row>
    <row r="852" spans="1:47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</row>
    <row r="853" spans="1:47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</row>
    <row r="854" spans="1:47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</row>
    <row r="855" spans="1:47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</row>
    <row r="856" spans="1:47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</row>
    <row r="857" spans="1:47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</row>
    <row r="858" spans="1:47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</row>
    <row r="859" spans="1:47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</row>
    <row r="860" spans="1:47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</row>
    <row r="861" spans="1:47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</row>
    <row r="862" spans="1:47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</row>
    <row r="863" spans="1:47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</row>
    <row r="864" spans="1:47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</row>
    <row r="865" spans="1:47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</row>
    <row r="866" spans="1:47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</row>
    <row r="867" spans="1:47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</row>
    <row r="868" spans="1:47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</row>
    <row r="869" spans="1:47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</row>
    <row r="870" spans="1:47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</row>
    <row r="871" spans="1:47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</row>
    <row r="872" spans="1:47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</row>
    <row r="873" spans="1:47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</row>
    <row r="874" spans="1:47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</row>
    <row r="875" spans="1:47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</row>
    <row r="876" spans="1:47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</row>
    <row r="877" spans="1:47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</row>
    <row r="878" spans="1:47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</row>
    <row r="879" spans="1:47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</row>
    <row r="880" spans="1:47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</row>
    <row r="881" spans="1:47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</row>
    <row r="882" spans="1:47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</row>
    <row r="883" spans="1:47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</row>
    <row r="884" spans="1:47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</row>
    <row r="885" spans="1:47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</row>
    <row r="886" spans="1:47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</row>
    <row r="887" spans="1:47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</row>
    <row r="888" spans="1:47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</row>
    <row r="889" spans="1:47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</row>
    <row r="890" spans="1:47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</row>
    <row r="891" spans="1:47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</row>
    <row r="892" spans="1:47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</row>
    <row r="893" spans="1:47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</row>
    <row r="894" spans="1:47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</row>
    <row r="895" spans="1:47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</row>
    <row r="896" spans="1:47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</row>
    <row r="897" spans="1:47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</row>
    <row r="898" spans="1:47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</row>
    <row r="899" spans="1:47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</row>
    <row r="900" spans="1:47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</row>
    <row r="901" spans="1:47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</row>
    <row r="902" spans="1:47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</row>
    <row r="903" spans="1:47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</row>
    <row r="904" spans="1:47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</row>
    <row r="905" spans="1:47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</row>
    <row r="906" spans="1:47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</row>
    <row r="907" spans="1:47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</row>
    <row r="908" spans="1:47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</row>
    <row r="909" spans="1:47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</row>
    <row r="910" spans="1:47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</row>
    <row r="911" spans="1:47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</row>
    <row r="912" spans="1:47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</row>
    <row r="913" spans="1:47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</row>
    <row r="914" spans="1:47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</row>
    <row r="915" spans="1:47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</row>
    <row r="916" spans="1:47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</row>
    <row r="917" spans="1:47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</row>
    <row r="918" spans="1:47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</row>
    <row r="919" spans="1:47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</row>
    <row r="920" spans="1:47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</row>
    <row r="921" spans="1:47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</row>
    <row r="922" spans="1:47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</row>
    <row r="923" spans="1:47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</row>
    <row r="924" spans="1:47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</row>
    <row r="925" spans="1:47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</row>
    <row r="926" spans="1:47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</row>
    <row r="927" spans="1:47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</row>
    <row r="928" spans="1:47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</row>
    <row r="929" spans="1:47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</row>
    <row r="930" spans="1:47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</row>
    <row r="931" spans="1:47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</row>
    <row r="932" spans="1:47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</row>
    <row r="933" spans="1:47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</row>
    <row r="934" spans="1:47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</row>
    <row r="935" spans="1:47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</row>
    <row r="936" spans="1:47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</row>
    <row r="937" spans="1:47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</row>
    <row r="938" spans="1:47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</row>
    <row r="939" spans="1:47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</row>
    <row r="940" spans="1:47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</row>
    <row r="941" spans="1:47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</row>
    <row r="942" spans="1:47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</row>
    <row r="943" spans="1:47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</row>
    <row r="944" spans="1:47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</row>
    <row r="945" spans="1:47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</row>
    <row r="946" spans="1:47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</row>
    <row r="947" spans="1:47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</row>
    <row r="948" spans="1:47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</row>
    <row r="949" spans="1:47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</row>
    <row r="950" spans="1:47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</row>
    <row r="951" spans="1:47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109"/>
      <c r="AS951" s="109"/>
      <c r="AT951" s="109"/>
      <c r="AU951" s="109"/>
    </row>
    <row r="952" spans="1:47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</row>
    <row r="953" spans="1:47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</row>
    <row r="954" spans="1:47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</row>
    <row r="955" spans="1:47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</row>
    <row r="956" spans="1:47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</row>
    <row r="957" spans="1:47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</row>
    <row r="958" spans="1:47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</row>
    <row r="959" spans="1:47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</row>
    <row r="960" spans="1:47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</row>
    <row r="961" spans="1:47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</row>
    <row r="962" spans="1:47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</row>
    <row r="963" spans="1:47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</row>
    <row r="964" spans="1:47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</row>
    <row r="965" spans="1:47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</row>
    <row r="966" spans="1:47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</row>
    <row r="967" spans="1:47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</row>
    <row r="968" spans="1:47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</row>
    <row r="969" spans="1:47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109"/>
      <c r="AS969" s="109"/>
      <c r="AT969" s="109"/>
      <c r="AU969" s="109"/>
    </row>
    <row r="970" spans="1:47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</row>
    <row r="971" spans="1:47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</row>
    <row r="972" spans="1:47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</row>
    <row r="973" spans="1:47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</row>
    <row r="974" spans="1:47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</row>
    <row r="975" spans="1:47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109"/>
      <c r="AS975" s="109"/>
      <c r="AT975" s="109"/>
      <c r="AU975" s="109"/>
    </row>
    <row r="976" spans="1:47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</row>
    <row r="977" spans="1:47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</row>
    <row r="978" spans="1:47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</row>
    <row r="979" spans="1:47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</row>
    <row r="980" spans="1:47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</row>
    <row r="981" spans="1:47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</row>
    <row r="982" spans="1:47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</row>
    <row r="983" spans="1:47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</row>
    <row r="984" spans="1:47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</row>
    <row r="985" spans="1:47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</row>
    <row r="986" spans="1:47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</row>
    <row r="987" spans="1:47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</row>
    <row r="988" spans="1:47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</row>
    <row r="989" spans="1:47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</row>
    <row r="990" spans="1:47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</row>
  </sheetData>
  <mergeCells count="49">
    <mergeCell ref="Y2:Y3"/>
    <mergeCell ref="X2:X3"/>
    <mergeCell ref="Z2:Z3"/>
    <mergeCell ref="AA2:AA3"/>
    <mergeCell ref="AD2:AD3"/>
    <mergeCell ref="AU1:AU3"/>
    <mergeCell ref="AT2:AT3"/>
    <mergeCell ref="AS2:AS3"/>
    <mergeCell ref="AE2:AE3"/>
    <mergeCell ref="AF2:AF3"/>
    <mergeCell ref="AG2:AG3"/>
    <mergeCell ref="AH2:AH3"/>
    <mergeCell ref="AI2:AI3"/>
    <mergeCell ref="V1:AR1"/>
    <mergeCell ref="AJ2:AJ3"/>
    <mergeCell ref="AK2:AK3"/>
    <mergeCell ref="AL2:AL3"/>
    <mergeCell ref="AO2:AO3"/>
    <mergeCell ref="W2:W3"/>
    <mergeCell ref="AC2:AC3"/>
    <mergeCell ref="AB2:AB3"/>
    <mergeCell ref="AN2:AN3"/>
    <mergeCell ref="AM2:AM3"/>
    <mergeCell ref="AP2:AP3"/>
    <mergeCell ref="AQ2:AQ3"/>
    <mergeCell ref="AR2:AR3"/>
    <mergeCell ref="J2:J3"/>
    <mergeCell ref="V2:V3"/>
    <mergeCell ref="U2:U3"/>
    <mergeCell ref="T2:T3"/>
    <mergeCell ref="M2:M3"/>
    <mergeCell ref="L2:L3"/>
    <mergeCell ref="N2:N3"/>
    <mergeCell ref="G30:I30"/>
    <mergeCell ref="A1:A3"/>
    <mergeCell ref="B1:B3"/>
    <mergeCell ref="E2:E3"/>
    <mergeCell ref="C2:C3"/>
    <mergeCell ref="D2:D3"/>
    <mergeCell ref="C1:S1"/>
    <mergeCell ref="H2:H3"/>
    <mergeCell ref="K2:K3"/>
    <mergeCell ref="R2:S2"/>
    <mergeCell ref="Q2:Q3"/>
    <mergeCell ref="O2:O3"/>
    <mergeCell ref="P2:P3"/>
    <mergeCell ref="F2:F3"/>
    <mergeCell ref="G2:G3"/>
    <mergeCell ref="I2:I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A86E8"/>
  </sheetPr>
  <dimension ref="A1:AU990"/>
  <sheetViews>
    <sheetView topLeftCell="A20" workbookViewId="0">
      <selection activeCell="B31" sqref="B31"/>
    </sheetView>
  </sheetViews>
  <sheetFormatPr defaultColWidth="12.58203125" defaultRowHeight="15" customHeight="1" x14ac:dyDescent="0.3"/>
  <cols>
    <col min="1" max="1" width="4.75" customWidth="1"/>
    <col min="2" max="2" width="19.58203125" customWidth="1"/>
    <col min="3" max="3" width="10.83203125" customWidth="1"/>
    <col min="4" max="4" width="11.25" customWidth="1"/>
    <col min="5" max="5" width="8.83203125" customWidth="1"/>
    <col min="6" max="6" width="9.58203125" customWidth="1"/>
    <col min="7" max="7" width="14.5" customWidth="1"/>
    <col min="8" max="8" width="12.83203125" customWidth="1"/>
    <col min="9" max="9" width="9.75" customWidth="1"/>
    <col min="10" max="10" width="7.58203125" customWidth="1"/>
    <col min="11" max="11" width="10.08203125" customWidth="1"/>
    <col min="12" max="12" width="14" customWidth="1"/>
    <col min="13" max="13" width="7.58203125" customWidth="1"/>
    <col min="14" max="14" width="12.08203125" customWidth="1"/>
    <col min="15" max="15" width="7.58203125" customWidth="1"/>
    <col min="16" max="16" width="10.33203125" customWidth="1"/>
    <col min="17" max="17" width="12.58203125" customWidth="1"/>
    <col min="18" max="18" width="10.83203125" customWidth="1"/>
    <col min="19" max="19" width="7.58203125" customWidth="1"/>
    <col min="20" max="20" width="9.08203125" customWidth="1"/>
    <col min="21" max="21" width="13.58203125" customWidth="1"/>
    <col min="22" max="22" width="12.5" customWidth="1"/>
    <col min="23" max="23" width="11.08203125" customWidth="1"/>
    <col min="24" max="24" width="10.58203125" customWidth="1"/>
    <col min="25" max="25" width="10.75" customWidth="1"/>
    <col min="26" max="26" width="12.08203125" customWidth="1"/>
    <col min="27" max="27" width="13.5" customWidth="1"/>
    <col min="28" max="28" width="9.08203125" customWidth="1"/>
    <col min="29" max="29" width="7.58203125" customWidth="1"/>
    <col min="30" max="30" width="9.5" customWidth="1"/>
    <col min="31" max="31" width="12.33203125" customWidth="1"/>
    <col min="32" max="32" width="18.75" customWidth="1"/>
    <col min="33" max="33" width="10.33203125" customWidth="1"/>
    <col min="34" max="34" width="7.58203125" customWidth="1"/>
    <col min="35" max="35" width="8.83203125" customWidth="1"/>
    <col min="36" max="36" width="13.25" customWidth="1"/>
    <col min="37" max="37" width="10.75" customWidth="1"/>
    <col min="38" max="38" width="11.75" customWidth="1"/>
    <col min="39" max="39" width="7.58203125" customWidth="1"/>
    <col min="40" max="40" width="10.33203125" customWidth="1"/>
    <col min="41" max="41" width="12.25" customWidth="1"/>
    <col min="42" max="42" width="21.33203125" customWidth="1"/>
    <col min="43" max="43" width="9.75" customWidth="1"/>
    <col min="44" max="44" width="7.58203125" customWidth="1"/>
    <col min="45" max="45" width="9.75" customWidth="1"/>
    <col min="46" max="46" width="12.83203125" customWidth="1"/>
    <col min="47" max="47" width="16.58203125" customWidth="1"/>
  </cols>
  <sheetData>
    <row r="1" spans="1:47" ht="14.25" customHeight="1" x14ac:dyDescent="0.3">
      <c r="A1" s="395" t="s">
        <v>0</v>
      </c>
      <c r="B1" s="396" t="s">
        <v>104</v>
      </c>
      <c r="C1" s="398" t="s">
        <v>3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2"/>
      <c r="T1" s="122"/>
      <c r="U1" s="122"/>
      <c r="V1" s="402" t="s">
        <v>4</v>
      </c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2"/>
      <c r="AS1" s="123"/>
      <c r="AT1" s="123"/>
      <c r="AU1" s="401" t="s">
        <v>5</v>
      </c>
    </row>
    <row r="2" spans="1:47" ht="14.25" customHeight="1" x14ac:dyDescent="0.3">
      <c r="A2" s="389"/>
      <c r="B2" s="353"/>
      <c r="C2" s="397" t="s">
        <v>6</v>
      </c>
      <c r="D2" s="397" t="s">
        <v>7</v>
      </c>
      <c r="E2" s="397" t="s">
        <v>8</v>
      </c>
      <c r="F2" s="397" t="s">
        <v>85</v>
      </c>
      <c r="G2" s="397" t="s">
        <v>86</v>
      </c>
      <c r="H2" s="397" t="s">
        <v>9</v>
      </c>
      <c r="I2" s="397" t="s">
        <v>7</v>
      </c>
      <c r="J2" s="397" t="s">
        <v>8</v>
      </c>
      <c r="K2" s="397" t="s">
        <v>85</v>
      </c>
      <c r="L2" s="397" t="s">
        <v>86</v>
      </c>
      <c r="M2" s="397" t="s">
        <v>105</v>
      </c>
      <c r="N2" s="397" t="s">
        <v>7</v>
      </c>
      <c r="O2" s="397" t="s">
        <v>8</v>
      </c>
      <c r="P2" s="397" t="s">
        <v>85</v>
      </c>
      <c r="Q2" s="397" t="s">
        <v>86</v>
      </c>
      <c r="R2" s="399" t="s">
        <v>11</v>
      </c>
      <c r="S2" s="372"/>
      <c r="T2" s="397" t="s">
        <v>85</v>
      </c>
      <c r="U2" s="397" t="s">
        <v>86</v>
      </c>
      <c r="V2" s="400" t="s">
        <v>12</v>
      </c>
      <c r="W2" s="400" t="s">
        <v>7</v>
      </c>
      <c r="X2" s="400" t="s">
        <v>8</v>
      </c>
      <c r="Y2" s="400" t="s">
        <v>85</v>
      </c>
      <c r="Z2" s="400" t="s">
        <v>131</v>
      </c>
      <c r="AA2" s="400" t="s">
        <v>13</v>
      </c>
      <c r="AB2" s="400" t="s">
        <v>7</v>
      </c>
      <c r="AC2" s="400" t="s">
        <v>8</v>
      </c>
      <c r="AD2" s="400" t="s">
        <v>85</v>
      </c>
      <c r="AE2" s="400" t="s">
        <v>131</v>
      </c>
      <c r="AF2" s="400" t="s">
        <v>14</v>
      </c>
      <c r="AG2" s="400" t="s">
        <v>7</v>
      </c>
      <c r="AH2" s="400" t="s">
        <v>8</v>
      </c>
      <c r="AI2" s="400" t="s">
        <v>85</v>
      </c>
      <c r="AJ2" s="400" t="s">
        <v>131</v>
      </c>
      <c r="AK2" s="400" t="s">
        <v>15</v>
      </c>
      <c r="AL2" s="400" t="s">
        <v>7</v>
      </c>
      <c r="AM2" s="400" t="s">
        <v>8</v>
      </c>
      <c r="AN2" s="400" t="s">
        <v>85</v>
      </c>
      <c r="AO2" s="400" t="s">
        <v>131</v>
      </c>
      <c r="AP2" s="400" t="s">
        <v>16</v>
      </c>
      <c r="AQ2" s="400" t="s">
        <v>7</v>
      </c>
      <c r="AR2" s="400" t="s">
        <v>8</v>
      </c>
      <c r="AS2" s="400" t="s">
        <v>85</v>
      </c>
      <c r="AT2" s="400" t="s">
        <v>131</v>
      </c>
      <c r="AU2" s="353"/>
    </row>
    <row r="3" spans="1:47" ht="14.25" customHeight="1" x14ac:dyDescent="0.3">
      <c r="A3" s="390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124" t="s">
        <v>17</v>
      </c>
      <c r="S3" s="124" t="s">
        <v>8</v>
      </c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</row>
    <row r="4" spans="1:47" ht="14.25" customHeight="1" x14ac:dyDescent="0.3">
      <c r="A4" s="76">
        <v>1</v>
      </c>
      <c r="B4" s="77" t="s">
        <v>100</v>
      </c>
      <c r="C4" s="78"/>
      <c r="D4" s="78"/>
      <c r="E4" s="78"/>
      <c r="F4" s="78"/>
      <c r="G4" s="78"/>
      <c r="H4" s="78"/>
      <c r="I4" s="78"/>
      <c r="J4" s="78"/>
      <c r="K4" s="97"/>
      <c r="L4" s="97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97"/>
      <c r="AE4" s="97"/>
      <c r="AF4" s="78"/>
      <c r="AG4" s="78"/>
      <c r="AH4" s="78"/>
      <c r="AI4" s="78"/>
      <c r="AJ4" s="78"/>
      <c r="AK4" s="78"/>
      <c r="AL4" s="78"/>
      <c r="AM4" s="78"/>
      <c r="AN4" s="97"/>
      <c r="AO4" s="97"/>
      <c r="AP4" s="78"/>
      <c r="AQ4" s="78"/>
      <c r="AR4" s="78"/>
      <c r="AS4" s="97"/>
      <c r="AT4" s="97"/>
      <c r="AU4" s="79"/>
    </row>
    <row r="5" spans="1:47" ht="14.25" customHeight="1" x14ac:dyDescent="0.3">
      <c r="A5" s="79"/>
      <c r="B5" s="79" t="s">
        <v>106</v>
      </c>
      <c r="C5" s="80" t="s">
        <v>107</v>
      </c>
      <c r="D5" s="111">
        <f>'UT Unit Fungsi'!D5</f>
        <v>1.095049968418018E-4</v>
      </c>
      <c r="E5" s="188" t="s">
        <v>199</v>
      </c>
      <c r="F5" s="111">
        <f>CF!H4</f>
        <v>2.22E-4</v>
      </c>
      <c r="G5" s="111">
        <f t="shared" ref="G5:G7" si="0">D5*F5</f>
        <v>2.4310109298879998E-8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14.25" customHeight="1" x14ac:dyDescent="0.3">
      <c r="A6" s="79"/>
      <c r="B6" s="79" t="s">
        <v>108</v>
      </c>
      <c r="C6" s="80" t="s">
        <v>109</v>
      </c>
      <c r="D6" s="111">
        <f>'UT Unit Fungsi'!D6</f>
        <v>1.9087843472699963E-2</v>
      </c>
      <c r="E6" s="188" t="s">
        <v>209</v>
      </c>
      <c r="F6" s="125">
        <v>0</v>
      </c>
      <c r="G6" s="111">
        <f t="shared" si="0"/>
        <v>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80" t="s">
        <v>111</v>
      </c>
      <c r="AB6" s="111">
        <f>Utilitas!R6/Utilitas!C30</f>
        <v>1.9087843472699963E-2</v>
      </c>
      <c r="AC6" s="188" t="s">
        <v>209</v>
      </c>
      <c r="AD6" s="125">
        <v>0</v>
      </c>
      <c r="AE6" s="111">
        <f>AB6*AD6</f>
        <v>0</v>
      </c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80" t="s">
        <v>112</v>
      </c>
      <c r="AQ6" s="111">
        <f>Utilitas!AA6/Utilitas!C30</f>
        <v>3.8175686945399931E-7</v>
      </c>
      <c r="AR6" s="188" t="s">
        <v>203</v>
      </c>
      <c r="AS6" s="118">
        <f>CF!H24</f>
        <v>5.4699999999999996E-4</v>
      </c>
      <c r="AT6" s="111">
        <f>AQ6*AS6</f>
        <v>2.0882100759133759E-10</v>
      </c>
      <c r="AU6" s="79"/>
    </row>
    <row r="7" spans="1:47" ht="14.25" customHeight="1" x14ac:dyDescent="0.3">
      <c r="A7" s="79"/>
      <c r="B7" s="79"/>
      <c r="C7" s="80" t="s">
        <v>113</v>
      </c>
      <c r="D7" s="111">
        <f>'UT Unit Fungsi'!D7</f>
        <v>3.8175686945399923E-5</v>
      </c>
      <c r="E7" s="188" t="s">
        <v>202</v>
      </c>
      <c r="F7" s="125">
        <v>0</v>
      </c>
      <c r="G7" s="111">
        <f t="shared" si="0"/>
        <v>0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112"/>
      <c r="AR7" s="78"/>
      <c r="AS7" s="78"/>
      <c r="AT7" s="78"/>
      <c r="AU7" s="79"/>
    </row>
    <row r="8" spans="1:47" ht="14.25" customHeight="1" x14ac:dyDescent="0.3">
      <c r="A8" s="79"/>
      <c r="B8" s="79" t="s">
        <v>114</v>
      </c>
      <c r="C8" s="78"/>
      <c r="D8" s="85"/>
      <c r="E8" s="85"/>
      <c r="F8" s="85"/>
      <c r="G8" s="85"/>
      <c r="H8" s="80" t="s">
        <v>22</v>
      </c>
      <c r="I8" s="111">
        <f>'UT Unit Fungsi'!G8</f>
        <v>6.6825250072615507E-3</v>
      </c>
      <c r="J8" s="188" t="s">
        <v>203</v>
      </c>
      <c r="K8" s="111">
        <f>CF!H7</f>
        <v>5.1500000000000001E-3</v>
      </c>
      <c r="L8" s="111">
        <f>I8*K8</f>
        <v>3.4415003787396986E-5</v>
      </c>
      <c r="M8" s="78"/>
      <c r="N8" s="78"/>
      <c r="O8" s="78"/>
      <c r="P8" s="78"/>
      <c r="Q8" s="78"/>
      <c r="R8" s="78"/>
      <c r="S8" s="78"/>
      <c r="T8" s="78"/>
      <c r="U8" s="78"/>
      <c r="V8" s="87" t="s">
        <v>24</v>
      </c>
      <c r="W8" s="111">
        <f>Utilitas!O8/Utilitas!C30</f>
        <v>3.4084522550674235E-8</v>
      </c>
      <c r="X8" s="20" t="s">
        <v>205</v>
      </c>
      <c r="Y8" s="126">
        <f>CF!H21</f>
        <v>3.6900000000000002E-2</v>
      </c>
      <c r="Z8" s="126">
        <f t="shared" ref="Z8:Z10" si="1">W8*Y8</f>
        <v>1.2577188821198793E-9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112"/>
      <c r="AR8" s="78"/>
      <c r="AS8" s="78"/>
      <c r="AT8" s="78"/>
      <c r="AU8" s="79"/>
    </row>
    <row r="9" spans="1:47" ht="14.25" customHeight="1" x14ac:dyDescent="0.3">
      <c r="A9" s="76"/>
      <c r="B9" s="79"/>
      <c r="C9" s="78"/>
      <c r="D9" s="85"/>
      <c r="E9" s="85"/>
      <c r="F9" s="85"/>
      <c r="G9" s="85"/>
      <c r="H9" s="78"/>
      <c r="I9" s="85"/>
      <c r="J9" s="85"/>
      <c r="K9" s="85"/>
      <c r="L9" s="85"/>
      <c r="M9" s="78"/>
      <c r="N9" s="89"/>
      <c r="O9" s="78"/>
      <c r="P9" s="78"/>
      <c r="Q9" s="78"/>
      <c r="R9" s="78"/>
      <c r="S9" s="78"/>
      <c r="T9" s="78"/>
      <c r="U9" s="78"/>
      <c r="V9" s="87" t="s">
        <v>29</v>
      </c>
      <c r="W9" s="111">
        <f>Utilitas!O9/Utilitas!C30</f>
        <v>5.1831000461322046E-7</v>
      </c>
      <c r="X9" s="18" t="s">
        <v>206</v>
      </c>
      <c r="Y9" s="127">
        <f>CF!H22</f>
        <v>8.77E-3</v>
      </c>
      <c r="Z9" s="127">
        <f t="shared" si="1"/>
        <v>4.5455787404579434E-9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0"/>
      <c r="AO9" s="90"/>
      <c r="AP9" s="90"/>
      <c r="AQ9" s="112"/>
      <c r="AR9" s="92"/>
      <c r="AS9" s="92"/>
      <c r="AT9" s="92"/>
      <c r="AU9" s="79"/>
    </row>
    <row r="10" spans="1:47" ht="14.25" customHeight="1" x14ac:dyDescent="0.3">
      <c r="A10" s="76"/>
      <c r="B10" s="79"/>
      <c r="C10" s="78"/>
      <c r="D10" s="85"/>
      <c r="E10" s="85"/>
      <c r="F10" s="85"/>
      <c r="G10" s="85"/>
      <c r="H10" s="78"/>
      <c r="I10" s="85"/>
      <c r="J10" s="85"/>
      <c r="K10" s="85"/>
      <c r="L10" s="85"/>
      <c r="M10" s="78"/>
      <c r="N10" s="89"/>
      <c r="O10" s="78"/>
      <c r="P10" s="78"/>
      <c r="Q10" s="78"/>
      <c r="R10" s="78"/>
      <c r="S10" s="78"/>
      <c r="T10" s="78"/>
      <c r="U10" s="78"/>
      <c r="V10" s="87" t="s">
        <v>31</v>
      </c>
      <c r="W10" s="111">
        <f>Utilitas!O10/Utilitas!C30</f>
        <v>2.0257163306103306E-5</v>
      </c>
      <c r="X10" s="18" t="s">
        <v>207</v>
      </c>
      <c r="Y10" s="127">
        <f>CF!H23</f>
        <v>2.2899999999999999E-3</v>
      </c>
      <c r="Z10" s="127">
        <f t="shared" si="1"/>
        <v>4.638890397097657E-8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0"/>
      <c r="AO10" s="90"/>
      <c r="AP10" s="90"/>
      <c r="AQ10" s="112"/>
      <c r="AR10" s="92"/>
      <c r="AS10" s="92"/>
      <c r="AT10" s="92"/>
      <c r="AU10" s="79"/>
    </row>
    <row r="11" spans="1:47" ht="14.25" customHeight="1" x14ac:dyDescent="0.3">
      <c r="A11" s="76"/>
      <c r="B11" s="79"/>
      <c r="C11" s="78"/>
      <c r="D11" s="85"/>
      <c r="E11" s="85"/>
      <c r="F11" s="85"/>
      <c r="G11" s="85"/>
      <c r="H11" s="78"/>
      <c r="I11" s="85"/>
      <c r="J11" s="85"/>
      <c r="K11" s="85"/>
      <c r="L11" s="85"/>
      <c r="M11" s="78"/>
      <c r="N11" s="89"/>
      <c r="O11" s="78"/>
      <c r="P11" s="78"/>
      <c r="Q11" s="78"/>
      <c r="R11" s="78"/>
      <c r="S11" s="78"/>
      <c r="T11" s="78"/>
      <c r="U11" s="78"/>
      <c r="V11" s="78"/>
      <c r="W11" s="113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0"/>
      <c r="AO11" s="90"/>
      <c r="AP11" s="90"/>
      <c r="AQ11" s="112"/>
      <c r="AR11" s="92"/>
      <c r="AS11" s="92"/>
      <c r="AT11" s="92"/>
      <c r="AU11" s="79"/>
    </row>
    <row r="12" spans="1:47" ht="14.25" customHeight="1" x14ac:dyDescent="0.3">
      <c r="A12" s="76"/>
      <c r="B12" s="79"/>
      <c r="C12" s="78"/>
      <c r="D12" s="85"/>
      <c r="E12" s="85"/>
      <c r="F12" s="85"/>
      <c r="G12" s="85"/>
      <c r="H12" s="78"/>
      <c r="I12" s="85"/>
      <c r="J12" s="85"/>
      <c r="K12" s="85"/>
      <c r="L12" s="85"/>
      <c r="M12" s="78"/>
      <c r="N12" s="89"/>
      <c r="O12" s="78"/>
      <c r="P12" s="78"/>
      <c r="Q12" s="78"/>
      <c r="R12" s="78"/>
      <c r="S12" s="78"/>
      <c r="T12" s="78"/>
      <c r="U12" s="78"/>
      <c r="V12" s="78"/>
      <c r="W12" s="113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90"/>
      <c r="AO12" s="90"/>
      <c r="AP12" s="90"/>
      <c r="AQ12" s="112"/>
      <c r="AR12" s="92"/>
      <c r="AS12" s="92"/>
      <c r="AT12" s="92"/>
      <c r="AU12" s="79"/>
    </row>
    <row r="13" spans="1:47" ht="14.25" customHeight="1" x14ac:dyDescent="0.3">
      <c r="A13" s="76">
        <v>2</v>
      </c>
      <c r="B13" s="77" t="s">
        <v>101</v>
      </c>
      <c r="C13" s="78"/>
      <c r="D13" s="85"/>
      <c r="E13" s="85"/>
      <c r="F13" s="85"/>
      <c r="G13" s="85"/>
      <c r="H13" s="80" t="s">
        <v>22</v>
      </c>
      <c r="I13" s="111">
        <f>'UT Unit Fungsi'!G13</f>
        <v>1.3651443943405738E-2</v>
      </c>
      <c r="J13" s="188" t="s">
        <v>203</v>
      </c>
      <c r="K13" s="111">
        <f>K8</f>
        <v>5.1500000000000001E-3</v>
      </c>
      <c r="L13" s="111">
        <f>I13*K13</f>
        <v>7.0304936308539554E-5</v>
      </c>
      <c r="M13" s="80" t="s">
        <v>115</v>
      </c>
      <c r="N13" s="81">
        <f>Utilitas!J13/Utilitas!C30</f>
        <v>5.3429011325306891E-2</v>
      </c>
      <c r="O13" s="188" t="s">
        <v>203</v>
      </c>
      <c r="P13" s="125">
        <v>0</v>
      </c>
      <c r="Q13" s="86">
        <f t="shared" ref="Q13:Q14" si="2">N13*P13</f>
        <v>0</v>
      </c>
      <c r="R13" s="78"/>
      <c r="S13" s="78"/>
      <c r="T13" s="78"/>
      <c r="U13" s="78"/>
      <c r="V13" s="87" t="s">
        <v>24</v>
      </c>
      <c r="W13" s="111">
        <f>Utilitas!O13/Utilitas!C30</f>
        <v>6.962981035352022E-8</v>
      </c>
      <c r="X13" s="20" t="s">
        <v>205</v>
      </c>
      <c r="Y13" s="126">
        <f t="shared" ref="Y13:Y15" si="3">Y8</f>
        <v>3.6900000000000002E-2</v>
      </c>
      <c r="Z13" s="126">
        <f t="shared" ref="Z13:Z15" si="4">W13*Y13</f>
        <v>2.5693400020448961E-9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80" t="s">
        <v>116</v>
      </c>
      <c r="AL13" s="94">
        <f>Utilitas!X13/Utilitas!C30</f>
        <v>3.6329210656642426E-3</v>
      </c>
      <c r="AM13" s="188" t="s">
        <v>200</v>
      </c>
      <c r="AN13" s="128">
        <f>CF!H12</f>
        <v>4.2500000000000003E-3</v>
      </c>
      <c r="AO13" s="128">
        <f t="shared" ref="AO13:AO16" si="5">AL13*AN13</f>
        <v>1.5439914529073031E-5</v>
      </c>
      <c r="AP13" s="95" t="s">
        <v>117</v>
      </c>
      <c r="AQ13" s="111">
        <f>Utilitas!AA13/Utilitas!C30</f>
        <v>1.0685802265061379E-7</v>
      </c>
      <c r="AR13" s="188" t="s">
        <v>203</v>
      </c>
      <c r="AS13" s="129">
        <f>CF!H26</f>
        <v>3.7300000000000001E-4</v>
      </c>
      <c r="AT13" s="130">
        <f t="shared" ref="AT13:AT14" si="6">AQ13*AS13</f>
        <v>3.9858042448678945E-11</v>
      </c>
      <c r="AU13" s="79"/>
    </row>
    <row r="14" spans="1:47" ht="14.25" customHeight="1" x14ac:dyDescent="0.3">
      <c r="A14" s="79"/>
      <c r="B14" s="79"/>
      <c r="C14" s="78"/>
      <c r="D14" s="85"/>
      <c r="E14" s="85"/>
      <c r="F14" s="85"/>
      <c r="G14" s="85"/>
      <c r="H14" s="78"/>
      <c r="I14" s="85"/>
      <c r="J14" s="85"/>
      <c r="K14" s="85"/>
      <c r="L14" s="85"/>
      <c r="M14" s="80" t="s">
        <v>118</v>
      </c>
      <c r="N14" s="81">
        <f>Utilitas!J14/Utilitas!C30</f>
        <v>1.9642121495572963E-2</v>
      </c>
      <c r="O14" s="188" t="s">
        <v>203</v>
      </c>
      <c r="P14" s="125">
        <f>CF!H32</f>
        <v>8.1600000000000006E-3</v>
      </c>
      <c r="Q14" s="111">
        <f t="shared" si="2"/>
        <v>1.6027971140387539E-4</v>
      </c>
      <c r="R14" s="78"/>
      <c r="S14" s="78"/>
      <c r="T14" s="78"/>
      <c r="U14" s="78"/>
      <c r="V14" s="87" t="s">
        <v>29</v>
      </c>
      <c r="W14" s="111">
        <f>Utilitas!O14/Utilitas!C30</f>
        <v>1.058833295138436E-6</v>
      </c>
      <c r="X14" s="18" t="s">
        <v>206</v>
      </c>
      <c r="Y14" s="127">
        <f t="shared" si="3"/>
        <v>8.77E-3</v>
      </c>
      <c r="Z14" s="127">
        <f t="shared" si="4"/>
        <v>9.2859679983640842E-9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80" t="s">
        <v>119</v>
      </c>
      <c r="AL14" s="94">
        <f>Utilitas!X14/Utilitas!C30</f>
        <v>6.5392579181956359E-2</v>
      </c>
      <c r="AM14" s="188" t="s">
        <v>203</v>
      </c>
      <c r="AN14" s="131">
        <v>0</v>
      </c>
      <c r="AO14" s="132">
        <f t="shared" si="5"/>
        <v>0</v>
      </c>
      <c r="AP14" s="95" t="s">
        <v>121</v>
      </c>
      <c r="AQ14" s="111">
        <f>Utilitas!AA14/Utilitas!C30</f>
        <v>3.9284242991145929E-8</v>
      </c>
      <c r="AR14" s="188" t="s">
        <v>203</v>
      </c>
      <c r="AS14" s="129">
        <f>AS13</f>
        <v>3.7300000000000001E-4</v>
      </c>
      <c r="AT14" s="130">
        <f t="shared" si="6"/>
        <v>1.4653022635697431E-11</v>
      </c>
      <c r="AU14" s="79"/>
    </row>
    <row r="15" spans="1:47" ht="14.25" customHeight="1" x14ac:dyDescent="0.3">
      <c r="A15" s="79"/>
      <c r="B15" s="79"/>
      <c r="C15" s="78"/>
      <c r="D15" s="85"/>
      <c r="E15" s="85"/>
      <c r="F15" s="85"/>
      <c r="G15" s="85"/>
      <c r="H15" s="78"/>
      <c r="I15" s="85"/>
      <c r="J15" s="85"/>
      <c r="K15" s="85"/>
      <c r="L15" s="85"/>
      <c r="M15" s="78"/>
      <c r="N15" s="78"/>
      <c r="O15" s="78"/>
      <c r="P15" s="78"/>
      <c r="Q15" s="78"/>
      <c r="R15" s="78"/>
      <c r="S15" s="78"/>
      <c r="T15" s="78"/>
      <c r="U15" s="78"/>
      <c r="V15" s="87" t="s">
        <v>31</v>
      </c>
      <c r="W15" s="111">
        <f>Utilitas!O15/Utilitas!C30</f>
        <v>4.138249075389676E-5</v>
      </c>
      <c r="X15" s="18" t="s">
        <v>207</v>
      </c>
      <c r="Y15" s="127">
        <f t="shared" si="3"/>
        <v>2.2899999999999999E-3</v>
      </c>
      <c r="Z15" s="127">
        <f t="shared" si="4"/>
        <v>9.4765903826423572E-8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80" t="s">
        <v>122</v>
      </c>
      <c r="AL15" s="94">
        <f>Utilitas!X15/Utilitas!C30</f>
        <v>7.2658421313284859E-5</v>
      </c>
      <c r="AM15" s="188" t="s">
        <v>203</v>
      </c>
      <c r="AN15" s="125">
        <v>0</v>
      </c>
      <c r="AO15" s="132">
        <f t="shared" si="5"/>
        <v>0</v>
      </c>
      <c r="AP15" s="78"/>
      <c r="AQ15" s="97"/>
      <c r="AR15" s="78"/>
      <c r="AS15" s="78"/>
      <c r="AT15" s="78"/>
      <c r="AU15" s="79"/>
    </row>
    <row r="16" spans="1:47" ht="14.25" customHeight="1" x14ac:dyDescent="0.3">
      <c r="A16" s="98"/>
      <c r="B16" s="98"/>
      <c r="C16" s="84"/>
      <c r="D16" s="99"/>
      <c r="E16" s="99"/>
      <c r="F16" s="99"/>
      <c r="G16" s="99"/>
      <c r="H16" s="84"/>
      <c r="I16" s="99"/>
      <c r="J16" s="99"/>
      <c r="K16" s="99"/>
      <c r="L16" s="9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115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101" t="s">
        <v>123</v>
      </c>
      <c r="AL16" s="102">
        <f>Utilitas!X16/Utilitas!C30</f>
        <v>3.2696289590978186E-3</v>
      </c>
      <c r="AM16" s="188" t="s">
        <v>203</v>
      </c>
      <c r="AN16" s="133">
        <v>0</v>
      </c>
      <c r="AO16" s="132">
        <f t="shared" si="5"/>
        <v>0</v>
      </c>
      <c r="AP16" s="84"/>
      <c r="AQ16" s="84"/>
      <c r="AR16" s="84"/>
      <c r="AS16" s="84"/>
      <c r="AT16" s="84"/>
      <c r="AU16" s="98"/>
    </row>
    <row r="17" spans="1:47" ht="12.75" customHeight="1" x14ac:dyDescent="0.3">
      <c r="A17" s="103"/>
      <c r="B17" s="98"/>
      <c r="C17" s="84"/>
      <c r="D17" s="99"/>
      <c r="E17" s="99"/>
      <c r="F17" s="99"/>
      <c r="G17" s="99"/>
      <c r="H17" s="84"/>
      <c r="I17" s="99"/>
      <c r="J17" s="99"/>
      <c r="K17" s="99"/>
      <c r="L17" s="99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5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98"/>
    </row>
    <row r="18" spans="1:47" ht="12.75" customHeight="1" x14ac:dyDescent="0.3">
      <c r="A18" s="76">
        <v>3</v>
      </c>
      <c r="B18" s="104" t="s">
        <v>102</v>
      </c>
      <c r="C18" s="78"/>
      <c r="D18" s="85"/>
      <c r="E18" s="85"/>
      <c r="F18" s="85"/>
      <c r="G18" s="85"/>
      <c r="H18" s="79" t="s">
        <v>22</v>
      </c>
      <c r="I18" s="116">
        <f>'UT Unit Fungsi'!G18</f>
        <v>2.2169610837840557</v>
      </c>
      <c r="J18" s="188" t="s">
        <v>203</v>
      </c>
      <c r="K18" s="116">
        <f>K8</f>
        <v>5.1500000000000001E-3</v>
      </c>
      <c r="L18" s="116">
        <f>I18*K18</f>
        <v>1.1417349581487888E-2</v>
      </c>
      <c r="M18" s="78"/>
      <c r="N18" s="78"/>
      <c r="O18" s="78"/>
      <c r="P18" s="78"/>
      <c r="Q18" s="78"/>
      <c r="R18" s="117">
        <f>Utilitas!L18/Utilitas!C30</f>
        <v>7.40849022395951E-4</v>
      </c>
      <c r="S18" s="20" t="s">
        <v>205</v>
      </c>
      <c r="T18" s="117">
        <f>CF!H10</f>
        <v>4.42E-6</v>
      </c>
      <c r="U18" s="117">
        <f>R18*T18</f>
        <v>3.2745526789901034E-9</v>
      </c>
      <c r="V18" s="87" t="s">
        <v>24</v>
      </c>
      <c r="W18" s="117">
        <f>Utilitas!O18/Utilitas!C30</f>
        <v>1.130771077879893E-5</v>
      </c>
      <c r="X18" s="20" t="s">
        <v>205</v>
      </c>
      <c r="Y18" s="126">
        <f t="shared" ref="Y18:Y20" si="7">Y8</f>
        <v>3.6900000000000002E-2</v>
      </c>
      <c r="Z18" s="126">
        <f t="shared" ref="Z18:Z20" si="8">W18*Y18</f>
        <v>4.1725452773768054E-7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/>
    </row>
    <row r="19" spans="1:47" ht="14.25" customHeight="1" x14ac:dyDescent="0.3">
      <c r="A19" s="79"/>
      <c r="B19" s="77"/>
      <c r="C19" s="78"/>
      <c r="D19" s="85"/>
      <c r="E19" s="85"/>
      <c r="F19" s="85"/>
      <c r="G19" s="85"/>
      <c r="H19" s="78"/>
      <c r="I19" s="107"/>
      <c r="J19" s="78"/>
      <c r="K19" s="78"/>
      <c r="L19" s="78"/>
      <c r="M19" s="78"/>
      <c r="N19" s="78"/>
      <c r="O19" s="78"/>
      <c r="P19" s="78"/>
      <c r="Q19" s="78"/>
      <c r="R19" s="78"/>
      <c r="S19" s="18" t="s">
        <v>206</v>
      </c>
      <c r="T19" s="78"/>
      <c r="U19" s="78"/>
      <c r="V19" s="87" t="s">
        <v>29</v>
      </c>
      <c r="W19" s="117">
        <f>Utilitas!O19/Utilitas!C30</f>
        <v>1.7195193558045894E-4</v>
      </c>
      <c r="X19" s="18" t="s">
        <v>206</v>
      </c>
      <c r="Y19" s="127">
        <f t="shared" si="7"/>
        <v>8.77E-3</v>
      </c>
      <c r="Z19" s="127">
        <f t="shared" si="8"/>
        <v>1.508018475040625E-6</v>
      </c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1:47" ht="14.25" customHeight="1" x14ac:dyDescent="0.3">
      <c r="A20" s="79"/>
      <c r="B20" s="77"/>
      <c r="C20" s="78"/>
      <c r="D20" s="85"/>
      <c r="E20" s="85"/>
      <c r="F20" s="85"/>
      <c r="G20" s="85"/>
      <c r="H20" s="78"/>
      <c r="I20" s="107"/>
      <c r="J20" s="78"/>
      <c r="K20" s="78"/>
      <c r="L20" s="78"/>
      <c r="M20" s="78"/>
      <c r="N20" s="78"/>
      <c r="O20" s="78"/>
      <c r="P20" s="78"/>
      <c r="Q20" s="78"/>
      <c r="R20" s="78"/>
      <c r="S20" s="18" t="s">
        <v>207</v>
      </c>
      <c r="T20" s="78"/>
      <c r="U20" s="78"/>
      <c r="V20" s="87" t="s">
        <v>31</v>
      </c>
      <c r="W20" s="117">
        <f>Utilitas!O20/Utilitas!C30</f>
        <v>6.7204152126163026E-3</v>
      </c>
      <c r="X20" s="18" t="s">
        <v>207</v>
      </c>
      <c r="Y20" s="127">
        <f t="shared" si="7"/>
        <v>2.2899999999999999E-3</v>
      </c>
      <c r="Z20" s="127">
        <f t="shared" si="8"/>
        <v>1.5389750836891333E-5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</row>
    <row r="21" spans="1:47" ht="14.25" customHeight="1" x14ac:dyDescent="0.3">
      <c r="A21" s="79"/>
      <c r="B21" s="77"/>
      <c r="C21" s="78"/>
      <c r="D21" s="85"/>
      <c r="E21" s="85"/>
      <c r="F21" s="85"/>
      <c r="G21" s="85"/>
      <c r="H21" s="78"/>
      <c r="I21" s="10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85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9"/>
    </row>
    <row r="22" spans="1:47" ht="14.25" customHeight="1" x14ac:dyDescent="0.3">
      <c r="A22" s="76">
        <v>4</v>
      </c>
      <c r="B22" s="77" t="s">
        <v>103</v>
      </c>
      <c r="C22" s="80" t="s">
        <v>124</v>
      </c>
      <c r="D22" s="111">
        <f>'UT Unit Fungsi'!D22</f>
        <v>0.21396490426821876</v>
      </c>
      <c r="E22" s="188" t="s">
        <v>203</v>
      </c>
      <c r="F22" s="94">
        <v>0</v>
      </c>
      <c r="G22" s="111">
        <f t="shared" ref="G22:G28" si="9">D22*F22</f>
        <v>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80" t="s">
        <v>124</v>
      </c>
      <c r="AG22" s="111">
        <f>Utilitas!U22/Utilitas!C30</f>
        <v>2.1398182754583456E-4</v>
      </c>
      <c r="AH22" s="188" t="s">
        <v>203</v>
      </c>
      <c r="AI22" s="111">
        <f>CF!H34</f>
        <v>1.8000000000000001E-4</v>
      </c>
      <c r="AJ22" s="111">
        <f t="shared" ref="AJ22:AJ28" si="10">AG22*AI22</f>
        <v>3.8516728958250225E-8</v>
      </c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9"/>
    </row>
    <row r="23" spans="1:47" ht="14.25" customHeight="1" x14ac:dyDescent="0.3">
      <c r="A23" s="79"/>
      <c r="B23" s="79"/>
      <c r="C23" s="108" t="s">
        <v>125</v>
      </c>
      <c r="D23" s="111">
        <f>'UT Unit Fungsi'!D23</f>
        <v>2.3811919465810231E-3</v>
      </c>
      <c r="E23" s="188" t="s">
        <v>203</v>
      </c>
      <c r="F23" s="94">
        <v>0</v>
      </c>
      <c r="G23" s="111">
        <f t="shared" si="9"/>
        <v>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20" t="s">
        <v>205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108" t="s">
        <v>125</v>
      </c>
      <c r="AG23" s="111">
        <f>Utilitas!U23/Utilitas!C30</f>
        <v>2.3811919465810231E-6</v>
      </c>
      <c r="AH23" s="188" t="s">
        <v>203</v>
      </c>
      <c r="AI23" s="148">
        <v>0</v>
      </c>
      <c r="AJ23" s="111">
        <f t="shared" si="10"/>
        <v>0</v>
      </c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9"/>
    </row>
    <row r="24" spans="1:47" ht="14.25" customHeight="1" x14ac:dyDescent="0.3">
      <c r="A24" s="79"/>
      <c r="B24" s="79"/>
      <c r="C24" s="108" t="s">
        <v>126</v>
      </c>
      <c r="D24" s="111">
        <f>'UT Unit Fungsi'!D24</f>
        <v>2.6502286676525925E-2</v>
      </c>
      <c r="E24" s="188" t="s">
        <v>203</v>
      </c>
      <c r="F24" s="94">
        <v>0</v>
      </c>
      <c r="G24" s="111">
        <f t="shared" si="9"/>
        <v>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8" t="s">
        <v>206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108" t="s">
        <v>126</v>
      </c>
      <c r="AG24" s="111">
        <f>Utilitas!U24/Utilitas!C30</f>
        <v>2.6502286676525927E-5</v>
      </c>
      <c r="AH24" s="188" t="s">
        <v>203</v>
      </c>
      <c r="AI24" s="111">
        <f>CF!H29</f>
        <v>7.9200000000000004E-6</v>
      </c>
      <c r="AJ24" s="111">
        <f t="shared" si="10"/>
        <v>2.0989811047808535E-10</v>
      </c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</row>
    <row r="25" spans="1:47" ht="14.25" customHeight="1" x14ac:dyDescent="0.3">
      <c r="A25" s="79"/>
      <c r="B25" s="79"/>
      <c r="C25" s="80" t="s">
        <v>127</v>
      </c>
      <c r="D25" s="111">
        <f>'UT Unit Fungsi'!D25</f>
        <v>4.7189908736343759E-3</v>
      </c>
      <c r="E25" s="188" t="s">
        <v>203</v>
      </c>
      <c r="F25" s="94">
        <v>0</v>
      </c>
      <c r="G25" s="111">
        <f t="shared" si="9"/>
        <v>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8" t="s">
        <v>207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0" t="s">
        <v>127</v>
      </c>
      <c r="AG25" s="111">
        <f>Utilitas!U25/Utilitas!C30</f>
        <v>4.7189908736343763E-6</v>
      </c>
      <c r="AH25" s="188" t="s">
        <v>203</v>
      </c>
      <c r="AI25" s="111">
        <f>CF!H31</f>
        <v>4.0600000000000002E-3</v>
      </c>
      <c r="AJ25" s="111">
        <f t="shared" si="10"/>
        <v>1.915910294695557E-8</v>
      </c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9"/>
    </row>
    <row r="26" spans="1:47" ht="14.25" customHeight="1" x14ac:dyDescent="0.3">
      <c r="A26" s="79"/>
      <c r="B26" s="79"/>
      <c r="C26" s="108" t="s">
        <v>128</v>
      </c>
      <c r="D26" s="118">
        <f>'UT Unit Fungsi'!D26</f>
        <v>5.0335902652099982E-3</v>
      </c>
      <c r="E26" s="188" t="s">
        <v>203</v>
      </c>
      <c r="F26" s="94">
        <v>0</v>
      </c>
      <c r="G26" s="111">
        <f t="shared" si="9"/>
        <v>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4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108" t="s">
        <v>128</v>
      </c>
      <c r="AG26" s="111">
        <f>Utilitas!U26/Utilitas!C30</f>
        <v>5.0335902652099982E-6</v>
      </c>
      <c r="AH26" s="188" t="s">
        <v>203</v>
      </c>
      <c r="AI26" s="111">
        <f>CF!H13</f>
        <v>7.6799999999999993E-2</v>
      </c>
      <c r="AJ26" s="111">
        <f t="shared" si="10"/>
        <v>3.8657973236812782E-7</v>
      </c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</row>
    <row r="27" spans="1:47" ht="14.25" customHeight="1" x14ac:dyDescent="0.3">
      <c r="A27" s="79"/>
      <c r="B27" s="79"/>
      <c r="C27" s="108" t="s">
        <v>129</v>
      </c>
      <c r="D27" s="111">
        <f>'UT Unit Fungsi'!D27</f>
        <v>1.3180597136765854E-2</v>
      </c>
      <c r="E27" s="188" t="s">
        <v>203</v>
      </c>
      <c r="F27" s="94">
        <v>0</v>
      </c>
      <c r="G27" s="111">
        <f t="shared" si="9"/>
        <v>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84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108" t="s">
        <v>129</v>
      </c>
      <c r="AG27" s="111">
        <f>Utilitas!U27/Utilitas!C30</f>
        <v>1.3180597136765854E-5</v>
      </c>
      <c r="AH27" s="188" t="s">
        <v>203</v>
      </c>
      <c r="AI27" s="111">
        <f>CF!H25</f>
        <v>2.0900000000000001E-4</v>
      </c>
      <c r="AJ27" s="111">
        <f t="shared" si="10"/>
        <v>2.7547448015840635E-9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9"/>
    </row>
    <row r="28" spans="1:47" ht="14.25" customHeight="1" x14ac:dyDescent="0.3">
      <c r="A28" s="79"/>
      <c r="B28" s="79"/>
      <c r="C28" s="80" t="s">
        <v>130</v>
      </c>
      <c r="D28" s="111">
        <f>'UT Unit Fungsi'!D28</f>
        <v>1.4428178992951074E-3</v>
      </c>
      <c r="E28" s="188" t="s">
        <v>203</v>
      </c>
      <c r="F28" s="94">
        <v>0</v>
      </c>
      <c r="G28" s="111">
        <f t="shared" si="9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20" t="s">
        <v>205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80" t="s">
        <v>130</v>
      </c>
      <c r="AG28" s="111">
        <f>Utilitas!U28/Utilitas!C30</f>
        <v>1.4428178992951075E-6</v>
      </c>
      <c r="AH28" s="188" t="s">
        <v>203</v>
      </c>
      <c r="AI28" s="111">
        <f>CF!H34</f>
        <v>1.8000000000000001E-4</v>
      </c>
      <c r="AJ28" s="111">
        <f t="shared" si="10"/>
        <v>2.5970722187311937E-10</v>
      </c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9"/>
    </row>
    <row r="29" spans="1:47" ht="14.2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8" t="s">
        <v>206</v>
      </c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</row>
    <row r="30" spans="1:47" ht="14.25" customHeight="1" x14ac:dyDescent="0.35">
      <c r="A30" s="109"/>
      <c r="B30" s="135" t="s">
        <v>96</v>
      </c>
      <c r="C30" s="109"/>
      <c r="D30" s="136" t="s">
        <v>100</v>
      </c>
      <c r="E30" s="137">
        <f>SUM(G5:G7,L8,Z8:Z10,AE6,AT6)</f>
        <v>3.4491714919297013E-5</v>
      </c>
      <c r="F30" s="109"/>
      <c r="G30" s="381" t="s">
        <v>210</v>
      </c>
      <c r="H30" s="381"/>
      <c r="I30" s="381"/>
      <c r="J30" s="109"/>
      <c r="K30" s="109"/>
      <c r="L30" s="109"/>
      <c r="M30" s="109"/>
      <c r="N30" s="109"/>
      <c r="O30" s="109"/>
      <c r="P30" s="109"/>
      <c r="Q30" s="109"/>
      <c r="R30" s="109"/>
      <c r="S30" s="18" t="s">
        <v>207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</row>
    <row r="31" spans="1:47" ht="14.25" customHeight="1" x14ac:dyDescent="0.35">
      <c r="A31" s="109"/>
      <c r="B31" s="138">
        <f>SUM(G5:G7,L8,L13,L18,Q13:Q14,U18,Z8:Z10,Z13:Z15,Z18:Z20,AE6,AJ22:AJ28,AO13:AO16,AT6,AT13:AT14)</f>
        <v>1.1715738312678321E-2</v>
      </c>
      <c r="C31" s="109"/>
      <c r="D31" s="136" t="s">
        <v>101</v>
      </c>
      <c r="E31" s="137">
        <f>SUM(L13,Q13:Q14,Z13:Z15,AO13:AO16,AT13:AT14)</f>
        <v>2.4613123796437983E-4</v>
      </c>
      <c r="F31" s="109"/>
      <c r="G31" s="197" t="s">
        <v>86</v>
      </c>
      <c r="H31" s="195" t="s">
        <v>211</v>
      </c>
      <c r="I31" s="197" t="s">
        <v>212</v>
      </c>
      <c r="J31" s="109"/>
      <c r="K31" s="109"/>
      <c r="L31" s="109"/>
      <c r="M31" s="10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</row>
    <row r="32" spans="1:47" ht="14.25" customHeight="1" x14ac:dyDescent="0.35">
      <c r="A32" s="109"/>
      <c r="B32" s="135" t="s">
        <v>97</v>
      </c>
      <c r="C32" s="109"/>
      <c r="D32" s="136" t="s">
        <v>102</v>
      </c>
      <c r="E32" s="137">
        <f>SUM(L18,U18,Z18:Z20)</f>
        <v>1.1434667879880237E-2</v>
      </c>
      <c r="F32" s="109"/>
      <c r="G32" s="215">
        <f>G5</f>
        <v>2.4310109298879998E-8</v>
      </c>
      <c r="H32" s="216">
        <f>(G32/$G$71)*100%</f>
        <v>2.0749959285598359E-6</v>
      </c>
      <c r="I32" s="220"/>
      <c r="J32" s="109"/>
      <c r="K32" s="109"/>
      <c r="L32" s="109"/>
      <c r="M32" s="109"/>
      <c r="N32" s="140"/>
      <c r="O32" s="139"/>
      <c r="P32" s="139"/>
      <c r="Q32" s="139"/>
      <c r="R32" s="139"/>
      <c r="S32" s="139"/>
      <c r="T32" s="139"/>
      <c r="U32" s="139"/>
      <c r="V32" s="139"/>
      <c r="W32" s="13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</row>
    <row r="33" spans="1:47" ht="14.25" customHeight="1" x14ac:dyDescent="0.3">
      <c r="A33" s="109"/>
      <c r="B33" s="109"/>
      <c r="C33" s="109"/>
      <c r="D33" s="136" t="s">
        <v>103</v>
      </c>
      <c r="E33" s="137">
        <f>SUM(AJ22:AJ28)</f>
        <v>4.4747991440726889E-7</v>
      </c>
      <c r="F33" s="109"/>
      <c r="G33" s="215">
        <f t="shared" ref="G33:G34" si="11">G6</f>
        <v>0</v>
      </c>
      <c r="H33" s="216">
        <f t="shared" ref="H33:H70" si="12">(G33/$G$71)*100%</f>
        <v>0</v>
      </c>
      <c r="I33" s="220"/>
      <c r="J33" s="109"/>
      <c r="K33" s="109"/>
      <c r="L33" s="109"/>
      <c r="M33" s="109"/>
      <c r="N33" s="141"/>
      <c r="O33" s="142"/>
      <c r="P33" s="142"/>
      <c r="Q33" s="142"/>
      <c r="R33" s="141"/>
      <c r="S33" s="139"/>
      <c r="T33" s="139"/>
      <c r="U33" s="139"/>
      <c r="V33" s="139"/>
      <c r="W33" s="13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</row>
    <row r="34" spans="1:47" ht="14.25" customHeight="1" x14ac:dyDescent="0.3">
      <c r="A34" s="109"/>
      <c r="B34" s="109"/>
      <c r="C34" s="109"/>
      <c r="D34" s="109"/>
      <c r="E34" s="137">
        <f>SUM(E30:E33)</f>
        <v>1.1715738312678321E-2</v>
      </c>
      <c r="F34" s="109"/>
      <c r="G34" s="215">
        <f t="shared" si="11"/>
        <v>0</v>
      </c>
      <c r="H34" s="216">
        <f t="shared" si="12"/>
        <v>0</v>
      </c>
      <c r="I34" s="220"/>
      <c r="J34" s="109"/>
      <c r="K34" s="109"/>
      <c r="L34" s="109"/>
      <c r="M34" s="109"/>
      <c r="N34" s="141"/>
      <c r="O34" s="142"/>
      <c r="P34" s="142"/>
      <c r="Q34" s="142"/>
      <c r="R34" s="141"/>
      <c r="S34" s="139"/>
      <c r="T34" s="139"/>
      <c r="U34" s="139"/>
      <c r="V34" s="139"/>
      <c r="W34" s="13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</row>
    <row r="35" spans="1:47" ht="14.25" customHeight="1" x14ac:dyDescent="0.3">
      <c r="A35" s="109"/>
      <c r="B35" s="109"/>
      <c r="C35" s="109"/>
      <c r="D35" s="109"/>
      <c r="E35" s="109"/>
      <c r="F35" s="109"/>
      <c r="G35" s="223">
        <f>G22</f>
        <v>0</v>
      </c>
      <c r="H35" s="224">
        <f t="shared" si="12"/>
        <v>0</v>
      </c>
      <c r="I35" s="229"/>
      <c r="J35" s="109"/>
      <c r="K35" s="109"/>
      <c r="L35" s="109"/>
      <c r="M35" s="109"/>
      <c r="N35" s="141"/>
      <c r="O35" s="142"/>
      <c r="P35" s="142"/>
      <c r="Q35" s="142"/>
      <c r="R35" s="141"/>
      <c r="S35" s="139"/>
      <c r="T35" s="139"/>
      <c r="U35" s="139"/>
      <c r="V35" s="139"/>
      <c r="W35" s="13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7" ht="14.25" customHeight="1" x14ac:dyDescent="0.3">
      <c r="A36" s="109"/>
      <c r="B36" s="109"/>
      <c r="C36" s="109"/>
      <c r="D36" s="109"/>
      <c r="E36" s="109"/>
      <c r="F36" s="109"/>
      <c r="G36" s="215">
        <f t="shared" ref="G36:G41" si="13">G23</f>
        <v>0</v>
      </c>
      <c r="H36" s="216">
        <f t="shared" si="12"/>
        <v>0</v>
      </c>
      <c r="I36" s="220"/>
      <c r="J36" s="109"/>
      <c r="K36" s="109"/>
      <c r="L36" s="109"/>
      <c r="M36" s="109"/>
      <c r="N36" s="141"/>
      <c r="O36" s="142"/>
      <c r="P36" s="142"/>
      <c r="Q36" s="142"/>
      <c r="R36" s="141"/>
      <c r="S36" s="139"/>
      <c r="T36" s="139"/>
      <c r="U36" s="139"/>
      <c r="V36" s="139"/>
      <c r="W36" s="13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</row>
    <row r="37" spans="1:47" ht="14.25" customHeight="1" x14ac:dyDescent="0.3">
      <c r="A37" s="109"/>
      <c r="B37" s="109"/>
      <c r="C37" s="109"/>
      <c r="D37" s="109"/>
      <c r="E37" s="109"/>
      <c r="F37" s="109"/>
      <c r="G37" s="215">
        <f t="shared" si="13"/>
        <v>0</v>
      </c>
      <c r="H37" s="216">
        <f t="shared" si="12"/>
        <v>0</v>
      </c>
      <c r="I37" s="220"/>
      <c r="J37" s="109"/>
      <c r="K37" s="109"/>
      <c r="L37" s="109"/>
      <c r="M37" s="109"/>
      <c r="N37" s="141"/>
      <c r="O37" s="142"/>
      <c r="P37" s="142"/>
      <c r="Q37" s="142"/>
      <c r="R37" s="141"/>
      <c r="S37" s="139"/>
      <c r="T37" s="139"/>
      <c r="U37" s="139"/>
      <c r="V37" s="139"/>
      <c r="W37" s="13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</row>
    <row r="38" spans="1:47" ht="14.25" customHeight="1" x14ac:dyDescent="0.3">
      <c r="A38" s="109"/>
      <c r="B38" s="109"/>
      <c r="C38" s="109"/>
      <c r="D38" s="109"/>
      <c r="E38" s="109"/>
      <c r="F38" s="109"/>
      <c r="G38" s="215">
        <f t="shared" si="13"/>
        <v>0</v>
      </c>
      <c r="H38" s="216">
        <f t="shared" si="12"/>
        <v>0</v>
      </c>
      <c r="I38" s="220"/>
      <c r="J38" s="109"/>
      <c r="K38" s="109"/>
      <c r="L38" s="109"/>
      <c r="M38" s="109"/>
      <c r="N38" s="141"/>
      <c r="O38" s="142"/>
      <c r="P38" s="142"/>
      <c r="Q38" s="142"/>
      <c r="R38" s="141"/>
      <c r="S38" s="139"/>
      <c r="T38" s="139"/>
      <c r="U38" s="139"/>
      <c r="V38" s="139"/>
      <c r="W38" s="13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</row>
    <row r="39" spans="1:47" ht="14.25" customHeight="1" x14ac:dyDescent="0.3">
      <c r="A39" s="109"/>
      <c r="B39" s="109"/>
      <c r="C39" s="109"/>
      <c r="D39" s="109"/>
      <c r="E39" s="109"/>
      <c r="F39" s="109"/>
      <c r="G39" s="215">
        <f t="shared" si="13"/>
        <v>0</v>
      </c>
      <c r="H39" s="216">
        <f t="shared" si="12"/>
        <v>0</v>
      </c>
      <c r="I39" s="220"/>
      <c r="J39" s="109"/>
      <c r="K39" s="109"/>
      <c r="L39" s="109"/>
      <c r="M39" s="109"/>
      <c r="N39" s="140"/>
      <c r="O39" s="139"/>
      <c r="P39" s="139"/>
      <c r="Q39" s="139"/>
      <c r="R39" s="141"/>
      <c r="S39" s="143"/>
      <c r="T39" s="143"/>
      <c r="U39" s="143"/>
      <c r="V39" s="143"/>
      <c r="W39" s="143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</row>
    <row r="40" spans="1:47" ht="14.25" customHeight="1" x14ac:dyDescent="0.3">
      <c r="A40" s="109"/>
      <c r="B40" s="109"/>
      <c r="C40" s="109"/>
      <c r="D40" s="109"/>
      <c r="E40" s="109"/>
      <c r="F40" s="109"/>
      <c r="G40" s="215">
        <f t="shared" si="13"/>
        <v>0</v>
      </c>
      <c r="H40" s="216">
        <f t="shared" si="12"/>
        <v>0</v>
      </c>
      <c r="I40" s="220"/>
      <c r="J40" s="109"/>
      <c r="K40" s="109"/>
      <c r="L40" s="109"/>
      <c r="M40" s="109"/>
      <c r="N40" s="144"/>
      <c r="O40" s="142"/>
      <c r="P40" s="142"/>
      <c r="Q40" s="142"/>
      <c r="R40" s="141"/>
      <c r="S40" s="143"/>
      <c r="T40" s="143"/>
      <c r="U40" s="143"/>
      <c r="V40" s="143"/>
      <c r="W40" s="143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</row>
    <row r="41" spans="1:47" ht="14.25" customHeight="1" x14ac:dyDescent="0.3">
      <c r="A41" s="109"/>
      <c r="B41" s="109"/>
      <c r="C41" s="109"/>
      <c r="D41" s="109"/>
      <c r="E41" s="109"/>
      <c r="F41" s="109"/>
      <c r="G41" s="223">
        <f t="shared" si="13"/>
        <v>0</v>
      </c>
      <c r="H41" s="224">
        <f t="shared" si="12"/>
        <v>0</v>
      </c>
      <c r="I41" s="225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</row>
    <row r="42" spans="1:47" ht="14.25" customHeight="1" x14ac:dyDescent="0.3">
      <c r="A42" s="109"/>
      <c r="B42" s="109"/>
      <c r="C42" s="109"/>
      <c r="D42" s="109"/>
      <c r="E42" s="109"/>
      <c r="F42" s="109"/>
      <c r="G42" s="215">
        <f>L8</f>
        <v>3.4415003787396986E-5</v>
      </c>
      <c r="H42" s="216">
        <f t="shared" si="12"/>
        <v>2.937501919973272E-3</v>
      </c>
      <c r="I42" s="220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ht="14.25" customHeight="1" x14ac:dyDescent="0.3">
      <c r="A43" s="109"/>
      <c r="B43" s="109"/>
      <c r="C43" s="109"/>
      <c r="D43" s="109"/>
      <c r="E43" s="109"/>
      <c r="F43" s="109"/>
      <c r="G43" s="215">
        <f>L13</f>
        <v>7.0304936308539554E-5</v>
      </c>
      <c r="H43" s="216">
        <f t="shared" si="12"/>
        <v>6.0008967793739694E-3</v>
      </c>
      <c r="I43" s="220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</row>
    <row r="44" spans="1:47" ht="14.25" customHeight="1" x14ac:dyDescent="0.3">
      <c r="A44" s="109"/>
      <c r="B44" s="109"/>
      <c r="C44" s="109"/>
      <c r="D44" s="109"/>
      <c r="E44" s="109"/>
      <c r="F44" s="109"/>
      <c r="G44" s="221">
        <f>L18</f>
        <v>1.1417349581487888E-2</v>
      </c>
      <c r="H44" s="222">
        <f t="shared" si="12"/>
        <v>0.97453094946073282</v>
      </c>
      <c r="I44" s="246" t="s">
        <v>248</v>
      </c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</row>
    <row r="45" spans="1:47" ht="14.25" customHeight="1" x14ac:dyDescent="0.3">
      <c r="A45" s="109"/>
      <c r="B45" s="109"/>
      <c r="C45" s="109"/>
      <c r="D45" s="109"/>
      <c r="E45" s="109"/>
      <c r="F45" s="109"/>
      <c r="G45" s="217">
        <f>Q13</f>
        <v>0</v>
      </c>
      <c r="H45" s="216">
        <f t="shared" si="12"/>
        <v>0</v>
      </c>
      <c r="I45" s="220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</row>
    <row r="46" spans="1:47" ht="14.25" customHeight="1" x14ac:dyDescent="0.3">
      <c r="A46" s="109"/>
      <c r="B46" s="109"/>
      <c r="C46" s="109"/>
      <c r="D46" s="109"/>
      <c r="E46" s="109"/>
      <c r="F46" s="109"/>
      <c r="G46" s="217">
        <f>Q14</f>
        <v>1.6027971140387539E-4</v>
      </c>
      <c r="H46" s="216">
        <f t="shared" si="12"/>
        <v>1.3680717947619814E-2</v>
      </c>
      <c r="I46" s="220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</row>
    <row r="47" spans="1:47" ht="14.25" customHeight="1" x14ac:dyDescent="0.3">
      <c r="A47" s="109"/>
      <c r="B47" s="109"/>
      <c r="C47" s="109"/>
      <c r="D47" s="109"/>
      <c r="E47" s="109"/>
      <c r="F47" s="109"/>
      <c r="G47" s="215">
        <f>U18</f>
        <v>3.2745526789901034E-9</v>
      </c>
      <c r="H47" s="216">
        <f t="shared" si="12"/>
        <v>2.7950032610804466E-7</v>
      </c>
      <c r="I47" s="220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</row>
    <row r="48" spans="1:47" ht="14.25" customHeight="1" x14ac:dyDescent="0.3">
      <c r="A48" s="109"/>
      <c r="B48" s="109"/>
      <c r="C48" s="109"/>
      <c r="D48" s="109"/>
      <c r="E48" s="109"/>
      <c r="F48" s="109"/>
      <c r="G48" s="215">
        <f>Z8</f>
        <v>1.2577188821198793E-9</v>
      </c>
      <c r="H48" s="216">
        <f t="shared" si="12"/>
        <v>1.0735293402369908E-7</v>
      </c>
      <c r="I48" s="220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</row>
    <row r="49" spans="1:47" ht="14.25" customHeight="1" x14ac:dyDescent="0.3">
      <c r="A49" s="109"/>
      <c r="B49" s="109"/>
      <c r="C49" s="109"/>
      <c r="D49" s="109"/>
      <c r="E49" s="109"/>
      <c r="F49" s="109"/>
      <c r="G49" s="215">
        <f t="shared" ref="G49:G50" si="14">Z9</f>
        <v>4.5455787404579434E-9</v>
      </c>
      <c r="H49" s="216">
        <f t="shared" si="12"/>
        <v>3.8798909801005823E-7</v>
      </c>
      <c r="I49" s="220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</row>
    <row r="50" spans="1:47" ht="14.25" customHeight="1" x14ac:dyDescent="0.3">
      <c r="A50" s="109"/>
      <c r="B50" s="109"/>
      <c r="C50" s="109"/>
      <c r="D50" s="109"/>
      <c r="E50" s="109"/>
      <c r="F50" s="109"/>
      <c r="G50" s="215">
        <f t="shared" si="14"/>
        <v>4.638890397097657E-8</v>
      </c>
      <c r="H50" s="216">
        <f t="shared" si="12"/>
        <v>3.9595373960150921E-6</v>
      </c>
      <c r="I50" s="220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</row>
    <row r="51" spans="1:47" ht="14.25" customHeight="1" x14ac:dyDescent="0.3">
      <c r="A51" s="109"/>
      <c r="B51" s="109"/>
      <c r="C51" s="109"/>
      <c r="D51" s="109"/>
      <c r="E51" s="109"/>
      <c r="F51" s="109"/>
      <c r="G51" s="215">
        <f>Z13</f>
        <v>2.5693400020448961E-9</v>
      </c>
      <c r="H51" s="216">
        <f t="shared" si="12"/>
        <v>2.1930670807698523E-7</v>
      </c>
      <c r="I51" s="220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</row>
    <row r="52" spans="1:47" ht="14.25" customHeight="1" x14ac:dyDescent="0.3">
      <c r="A52" s="109"/>
      <c r="B52" s="109"/>
      <c r="C52" s="109"/>
      <c r="D52" s="109"/>
      <c r="E52" s="109"/>
      <c r="F52" s="109"/>
      <c r="G52" s="215">
        <f t="shared" ref="G52:G53" si="15">Z14</f>
        <v>9.2859679983640842E-9</v>
      </c>
      <c r="H52" s="216">
        <f t="shared" si="12"/>
        <v>7.9260630022054761E-7</v>
      </c>
      <c r="I52" s="220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</row>
    <row r="53" spans="1:47" ht="14.25" customHeight="1" x14ac:dyDescent="0.3">
      <c r="A53" s="109"/>
      <c r="B53" s="109"/>
      <c r="C53" s="109"/>
      <c r="D53" s="109"/>
      <c r="E53" s="109"/>
      <c r="F53" s="109"/>
      <c r="G53" s="215">
        <f t="shared" si="15"/>
        <v>9.4765903826423572E-8</v>
      </c>
      <c r="H53" s="216">
        <f t="shared" si="12"/>
        <v>8.0887692518594038E-6</v>
      </c>
      <c r="I53" s="220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</row>
    <row r="54" spans="1:47" ht="14.25" customHeight="1" x14ac:dyDescent="0.3">
      <c r="A54" s="109"/>
      <c r="B54" s="109"/>
      <c r="C54" s="109"/>
      <c r="D54" s="109"/>
      <c r="E54" s="109"/>
      <c r="F54" s="109"/>
      <c r="G54" s="215">
        <f>Z18</f>
        <v>4.1725452773768054E-7</v>
      </c>
      <c r="H54" s="216">
        <f t="shared" si="12"/>
        <v>3.5614872627032287E-5</v>
      </c>
      <c r="I54" s="220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</row>
    <row r="55" spans="1:47" ht="14.25" customHeight="1" x14ac:dyDescent="0.3">
      <c r="A55" s="109"/>
      <c r="B55" s="109"/>
      <c r="C55" s="109"/>
      <c r="D55" s="109"/>
      <c r="E55" s="109"/>
      <c r="F55" s="109"/>
      <c r="G55" s="215">
        <f t="shared" ref="G55:G56" si="16">Z19</f>
        <v>1.508018475040625E-6</v>
      </c>
      <c r="H55" s="216">
        <f t="shared" si="12"/>
        <v>1.2871732321032686E-4</v>
      </c>
      <c r="I55" s="220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</row>
    <row r="56" spans="1:47" ht="14.25" customHeight="1" x14ac:dyDescent="0.3">
      <c r="A56" s="109"/>
      <c r="B56" s="109"/>
      <c r="C56" s="109"/>
      <c r="D56" s="109"/>
      <c r="E56" s="109"/>
      <c r="F56" s="109"/>
      <c r="G56" s="215">
        <f t="shared" si="16"/>
        <v>1.5389750836891333E-5</v>
      </c>
      <c r="H56" s="216">
        <f t="shared" si="12"/>
        <v>1.3135963288149872E-3</v>
      </c>
      <c r="I56" s="220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</row>
    <row r="57" spans="1:47" ht="14.25" customHeight="1" x14ac:dyDescent="0.3">
      <c r="A57" s="109"/>
      <c r="B57" s="109"/>
      <c r="C57" s="109"/>
      <c r="D57" s="109"/>
      <c r="E57" s="109"/>
      <c r="F57" s="109"/>
      <c r="G57" s="215">
        <f>AE6</f>
        <v>0</v>
      </c>
      <c r="H57" s="216">
        <f t="shared" si="12"/>
        <v>0</v>
      </c>
      <c r="I57" s="220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</row>
    <row r="58" spans="1:47" ht="14.25" customHeight="1" x14ac:dyDescent="0.3">
      <c r="A58" s="109"/>
      <c r="B58" s="109"/>
      <c r="C58" s="109"/>
      <c r="D58" s="109"/>
      <c r="E58" s="109"/>
      <c r="F58" s="109"/>
      <c r="G58" s="215">
        <f>AJ22</f>
        <v>3.8516728958250225E-8</v>
      </c>
      <c r="H58" s="216">
        <f t="shared" si="12"/>
        <v>3.2876057769717258E-6</v>
      </c>
      <c r="I58" s="22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</row>
    <row r="59" spans="1:47" ht="14.25" customHeight="1" x14ac:dyDescent="0.3">
      <c r="A59" s="109"/>
      <c r="B59" s="109"/>
      <c r="C59" s="109"/>
      <c r="D59" s="109"/>
      <c r="E59" s="109"/>
      <c r="F59" s="109"/>
      <c r="G59" s="215">
        <f t="shared" ref="G59:G64" si="17">AJ23</f>
        <v>0</v>
      </c>
      <c r="H59" s="216">
        <f t="shared" si="12"/>
        <v>0</v>
      </c>
      <c r="I59" s="220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</row>
    <row r="60" spans="1:47" ht="14.25" customHeight="1" x14ac:dyDescent="0.3">
      <c r="A60" s="109"/>
      <c r="B60" s="109"/>
      <c r="C60" s="109"/>
      <c r="D60" s="109"/>
      <c r="E60" s="109"/>
      <c r="F60" s="109"/>
      <c r="G60" s="215">
        <f t="shared" si="17"/>
        <v>2.0989811047808535E-10</v>
      </c>
      <c r="H60" s="216">
        <f t="shared" si="12"/>
        <v>1.7915909768225337E-8</v>
      </c>
      <c r="I60" s="220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</row>
    <row r="61" spans="1:47" ht="14.25" customHeight="1" x14ac:dyDescent="0.3">
      <c r="A61" s="109"/>
      <c r="B61" s="109"/>
      <c r="C61" s="109"/>
      <c r="D61" s="109"/>
      <c r="E61" s="109"/>
      <c r="F61" s="109"/>
      <c r="G61" s="215">
        <f t="shared" si="17"/>
        <v>1.915910294695557E-8</v>
      </c>
      <c r="H61" s="216">
        <f t="shared" si="12"/>
        <v>1.6353303936656153E-6</v>
      </c>
      <c r="I61" s="220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</row>
    <row r="62" spans="1:47" ht="14.25" customHeight="1" x14ac:dyDescent="0.3">
      <c r="A62" s="109"/>
      <c r="B62" s="109"/>
      <c r="C62" s="109"/>
      <c r="D62" s="109"/>
      <c r="E62" s="109"/>
      <c r="F62" s="109"/>
      <c r="G62" s="215">
        <f t="shared" si="17"/>
        <v>3.8657973236812782E-7</v>
      </c>
      <c r="H62" s="216">
        <f t="shared" si="12"/>
        <v>3.2996617204208641E-5</v>
      </c>
      <c r="I62" s="220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</row>
    <row r="63" spans="1:47" ht="14.25" customHeight="1" x14ac:dyDescent="0.3">
      <c r="A63" s="109"/>
      <c r="B63" s="109"/>
      <c r="C63" s="109"/>
      <c r="D63" s="109"/>
      <c r="E63" s="109"/>
      <c r="F63" s="109"/>
      <c r="G63" s="215">
        <f t="shared" si="17"/>
        <v>2.7547448015840635E-9</v>
      </c>
      <c r="H63" s="216">
        <f t="shared" si="12"/>
        <v>2.3513198469130921E-7</v>
      </c>
      <c r="I63" s="220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</row>
    <row r="64" spans="1:47" ht="14.25" customHeight="1" x14ac:dyDescent="0.3">
      <c r="A64" s="109"/>
      <c r="B64" s="109"/>
      <c r="C64" s="109"/>
      <c r="D64" s="109"/>
      <c r="E64" s="109"/>
      <c r="F64" s="109"/>
      <c r="G64" s="215">
        <f t="shared" si="17"/>
        <v>2.5970722187311937E-10</v>
      </c>
      <c r="H64" s="216">
        <f t="shared" si="12"/>
        <v>2.2167379890354346E-8</v>
      </c>
      <c r="I64" s="220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</row>
    <row r="65" spans="1:47" ht="14.25" customHeight="1" x14ac:dyDescent="0.3">
      <c r="A65" s="109"/>
      <c r="B65" s="109"/>
      <c r="C65" s="109"/>
      <c r="D65" s="109"/>
      <c r="E65" s="109"/>
      <c r="F65" s="109"/>
      <c r="G65" s="223">
        <f>AO13</f>
        <v>1.5439914529073031E-5</v>
      </c>
      <c r="H65" s="224">
        <f t="shared" si="12"/>
        <v>1.3178780642756889E-3</v>
      </c>
      <c r="I65" s="225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</row>
    <row r="66" spans="1:47" ht="14.25" customHeight="1" x14ac:dyDescent="0.3">
      <c r="A66" s="109"/>
      <c r="B66" s="109"/>
      <c r="C66" s="109"/>
      <c r="D66" s="109"/>
      <c r="E66" s="109"/>
      <c r="F66" s="109"/>
      <c r="G66" s="223">
        <f t="shared" ref="G66:G67" si="18">AO14</f>
        <v>0</v>
      </c>
      <c r="H66" s="224">
        <f t="shared" si="12"/>
        <v>0</v>
      </c>
      <c r="I66" s="22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</row>
    <row r="67" spans="1:47" ht="14.25" customHeight="1" x14ac:dyDescent="0.3">
      <c r="A67" s="109"/>
      <c r="B67" s="109"/>
      <c r="C67" s="109"/>
      <c r="D67" s="109"/>
      <c r="E67" s="109"/>
      <c r="F67" s="109"/>
      <c r="G67" s="215">
        <f t="shared" si="18"/>
        <v>0</v>
      </c>
      <c r="H67" s="216">
        <f t="shared" si="12"/>
        <v>0</v>
      </c>
      <c r="I67" s="220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</row>
    <row r="68" spans="1:47" ht="14.25" customHeight="1" x14ac:dyDescent="0.3">
      <c r="A68" s="109"/>
      <c r="B68" s="109"/>
      <c r="C68" s="109"/>
      <c r="D68" s="109"/>
      <c r="E68" s="109"/>
      <c r="F68" s="109"/>
      <c r="G68" s="215">
        <f>AT6</f>
        <v>2.0882100759133759E-10</v>
      </c>
      <c r="H68" s="216">
        <f t="shared" si="12"/>
        <v>1.7823973361146138E-8</v>
      </c>
      <c r="I68" s="220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</row>
    <row r="69" spans="1:47" ht="14.25" customHeight="1" x14ac:dyDescent="0.3">
      <c r="A69" s="109"/>
      <c r="B69" s="109"/>
      <c r="C69" s="109"/>
      <c r="D69" s="109"/>
      <c r="E69" s="109"/>
      <c r="F69" s="109"/>
      <c r="G69" s="215">
        <f>AT13</f>
        <v>3.9858042448678945E-11</v>
      </c>
      <c r="H69" s="216">
        <f t="shared" si="12"/>
        <v>3.4020939513087373E-9</v>
      </c>
      <c r="I69" s="220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</row>
    <row r="70" spans="1:47" ht="14.25" customHeight="1" x14ac:dyDescent="0.3">
      <c r="A70" s="109"/>
      <c r="B70" s="109"/>
      <c r="C70" s="109"/>
      <c r="D70" s="109"/>
      <c r="E70" s="109"/>
      <c r="F70" s="109"/>
      <c r="G70" s="215">
        <f>AT14</f>
        <v>1.4653022635697431E-11</v>
      </c>
      <c r="H70" s="216">
        <f t="shared" si="12"/>
        <v>1.2507126947211252E-9</v>
      </c>
      <c r="I70" s="220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</row>
    <row r="71" spans="1:47" ht="14.25" customHeight="1" x14ac:dyDescent="0.3">
      <c r="A71" s="109"/>
      <c r="B71" s="109"/>
      <c r="C71" s="109"/>
      <c r="D71" s="109"/>
      <c r="E71" s="109"/>
      <c r="F71" s="109"/>
      <c r="G71" s="218">
        <f>SUM(G32:G70)</f>
        <v>1.1715738312678321E-2</v>
      </c>
      <c r="H71" s="219">
        <f>SUM(H32:H70)</f>
        <v>1</v>
      </c>
      <c r="I71" s="110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</row>
    <row r="72" spans="1:47" ht="14.2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</row>
    <row r="73" spans="1:47" ht="14.2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</row>
    <row r="74" spans="1:47" ht="14.2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</row>
    <row r="75" spans="1:47" ht="14.2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</row>
    <row r="76" spans="1:47" ht="14.2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</row>
    <row r="77" spans="1:47" ht="14.2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</row>
    <row r="78" spans="1:47" ht="14.2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</row>
    <row r="79" spans="1:47" ht="14.2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</row>
    <row r="80" spans="1:47" ht="14.2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</row>
    <row r="81" spans="1:47" ht="14.2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</row>
    <row r="82" spans="1:47" ht="14.2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</row>
    <row r="83" spans="1:47" ht="14.2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</row>
    <row r="84" spans="1:47" ht="14.2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</row>
    <row r="85" spans="1:47" ht="14.2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</row>
    <row r="86" spans="1:47" ht="14.2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</row>
    <row r="87" spans="1:47" ht="14.2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</row>
    <row r="88" spans="1:47" ht="14.2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</row>
    <row r="89" spans="1:47" ht="14.2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</row>
    <row r="90" spans="1:47" ht="14.2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</row>
    <row r="91" spans="1:47" ht="14.2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</row>
    <row r="92" spans="1:47" ht="14.2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</row>
    <row r="93" spans="1:47" ht="14.2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</row>
    <row r="94" spans="1:47" ht="14.2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</row>
    <row r="95" spans="1:47" ht="14.2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</row>
    <row r="96" spans="1:47" ht="14.2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</row>
    <row r="97" spans="1:47" ht="14.2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</row>
    <row r="98" spans="1:47" ht="14.2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</row>
    <row r="99" spans="1:47" ht="14.2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</row>
    <row r="100" spans="1:47" ht="14.2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</row>
    <row r="101" spans="1:47" ht="14.2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</row>
    <row r="102" spans="1:47" ht="14.2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</row>
    <row r="103" spans="1:47" ht="14.2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</row>
    <row r="104" spans="1:47" ht="14.2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</row>
    <row r="105" spans="1:47" ht="14.2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</row>
    <row r="106" spans="1:47" ht="14.2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</row>
    <row r="107" spans="1:47" ht="14.2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</row>
    <row r="108" spans="1:47" ht="14.2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</row>
    <row r="109" spans="1:47" ht="14.2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</row>
    <row r="110" spans="1:47" ht="14.2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</row>
    <row r="111" spans="1:47" ht="14.2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</row>
    <row r="112" spans="1:47" ht="14.2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</row>
    <row r="113" spans="1:47" ht="14.2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</row>
    <row r="114" spans="1:47" ht="14.2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</row>
    <row r="115" spans="1:47" ht="14.2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</row>
    <row r="116" spans="1:47" ht="14.2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</row>
    <row r="117" spans="1:47" ht="14.2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</row>
    <row r="118" spans="1:47" ht="14.2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</row>
    <row r="119" spans="1:47" ht="14.2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</row>
    <row r="120" spans="1:47" ht="14.2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</row>
    <row r="121" spans="1:47" ht="14.2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</row>
    <row r="122" spans="1:47" ht="14.2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</row>
    <row r="123" spans="1:47" ht="14.2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</row>
    <row r="124" spans="1:47" ht="14.2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</row>
    <row r="125" spans="1:47" ht="14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</row>
    <row r="126" spans="1:47" ht="14.2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</row>
    <row r="127" spans="1:47" ht="14.2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</row>
    <row r="128" spans="1:47" ht="14.2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</row>
    <row r="129" spans="1:47" ht="14.2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</row>
    <row r="130" spans="1:47" ht="14.2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</row>
    <row r="131" spans="1:47" ht="14.2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</row>
    <row r="132" spans="1:47" ht="14.2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</row>
    <row r="133" spans="1:47" ht="14.2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</row>
    <row r="134" spans="1:47" ht="14.2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</row>
    <row r="135" spans="1:47" ht="14.2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</row>
    <row r="136" spans="1:47" ht="14.2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</row>
    <row r="137" spans="1:47" ht="14.2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</row>
    <row r="138" spans="1:47" ht="14.2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</row>
    <row r="139" spans="1:47" ht="14.2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</row>
    <row r="140" spans="1:47" ht="14.2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</row>
    <row r="141" spans="1:47" ht="14.2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</row>
    <row r="142" spans="1:47" ht="14.2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</row>
    <row r="143" spans="1:47" ht="14.2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</row>
    <row r="144" spans="1:47" ht="14.2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</row>
    <row r="145" spans="1:47" ht="14.2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</row>
    <row r="146" spans="1:47" ht="14.2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</row>
    <row r="147" spans="1:47" ht="14.2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</row>
    <row r="148" spans="1:47" ht="14.2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</row>
    <row r="149" spans="1:47" ht="14.2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</row>
    <row r="150" spans="1:47" ht="14.2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</row>
    <row r="151" spans="1:47" ht="14.2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</row>
    <row r="152" spans="1:47" ht="14.2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</row>
    <row r="153" spans="1:47" ht="14.2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</row>
    <row r="154" spans="1:47" ht="14.2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</row>
    <row r="155" spans="1:47" ht="14.2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</row>
    <row r="156" spans="1:47" ht="14.2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</row>
    <row r="157" spans="1:47" ht="14.2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</row>
    <row r="158" spans="1:47" ht="14.2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</row>
    <row r="159" spans="1:47" ht="14.2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</row>
    <row r="160" spans="1:47" ht="14.2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</row>
    <row r="161" spans="1:47" ht="14.2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</row>
    <row r="162" spans="1:47" ht="14.2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</row>
    <row r="163" spans="1:47" ht="14.2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</row>
    <row r="164" spans="1:47" ht="14.2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</row>
    <row r="165" spans="1:47" ht="14.2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</row>
    <row r="166" spans="1:47" ht="14.2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</row>
    <row r="167" spans="1:47" ht="14.2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</row>
    <row r="168" spans="1:47" ht="14.2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</row>
    <row r="169" spans="1:47" ht="14.2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</row>
    <row r="170" spans="1:47" ht="14.2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</row>
    <row r="171" spans="1:47" ht="14.2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</row>
    <row r="172" spans="1:47" ht="14.2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</row>
    <row r="173" spans="1:47" ht="14.2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</row>
    <row r="174" spans="1:47" ht="14.2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</row>
    <row r="175" spans="1:47" ht="14.2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</row>
    <row r="176" spans="1:47" ht="14.2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</row>
    <row r="177" spans="1:47" ht="14.2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</row>
    <row r="178" spans="1:47" ht="14.2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</row>
    <row r="179" spans="1:47" ht="14.2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</row>
    <row r="180" spans="1:47" ht="14.2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</row>
    <row r="181" spans="1:47" ht="14.2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</row>
    <row r="182" spans="1:47" ht="14.2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</row>
    <row r="183" spans="1:47" ht="14.2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</row>
    <row r="184" spans="1:47" ht="14.2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</row>
    <row r="185" spans="1:47" ht="14.2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</row>
    <row r="186" spans="1:47" ht="14.2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</row>
    <row r="187" spans="1:47" ht="14.2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</row>
    <row r="188" spans="1:47" ht="14.2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</row>
    <row r="189" spans="1:47" ht="14.2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</row>
    <row r="190" spans="1:47" ht="14.2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</row>
    <row r="191" spans="1:47" ht="14.2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</row>
    <row r="192" spans="1:47" ht="14.2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</row>
    <row r="193" spans="1:47" ht="14.2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</row>
    <row r="194" spans="1:47" ht="14.2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</row>
    <row r="195" spans="1:47" ht="14.2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</row>
    <row r="196" spans="1:47" ht="14.2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</row>
    <row r="197" spans="1:47" ht="14.2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</row>
    <row r="198" spans="1:47" ht="14.2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</row>
    <row r="199" spans="1:47" ht="14.2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</row>
    <row r="200" spans="1:47" ht="14.2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</row>
    <row r="201" spans="1:47" ht="14.2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</row>
    <row r="202" spans="1:47" ht="14.2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</row>
    <row r="203" spans="1:47" ht="14.2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</row>
    <row r="204" spans="1:47" ht="14.2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</row>
    <row r="205" spans="1:47" ht="14.2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</row>
    <row r="206" spans="1:47" ht="14.2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</row>
    <row r="207" spans="1:47" ht="14.2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</row>
    <row r="208" spans="1:47" ht="14.2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</row>
    <row r="209" spans="1:47" ht="14.2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</row>
    <row r="210" spans="1:47" ht="14.2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</row>
    <row r="211" spans="1:47" ht="14.2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</row>
    <row r="212" spans="1:47" ht="14.2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</row>
    <row r="213" spans="1:47" ht="14.2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</row>
    <row r="214" spans="1:47" ht="14.2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</row>
    <row r="215" spans="1:47" ht="14.2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</row>
    <row r="216" spans="1:47" ht="14.2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</row>
    <row r="217" spans="1:47" ht="14.2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</row>
    <row r="218" spans="1:47" ht="14.2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</row>
    <row r="219" spans="1:47" ht="14.2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</row>
    <row r="220" spans="1:47" ht="14.2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</row>
    <row r="221" spans="1:47" ht="14.2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</row>
    <row r="222" spans="1:47" ht="14.2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</row>
    <row r="223" spans="1:47" ht="14.2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</row>
    <row r="224" spans="1:47" ht="14.2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</row>
    <row r="225" spans="1:47" ht="14.2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</row>
    <row r="226" spans="1:47" ht="14.2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</row>
    <row r="227" spans="1:47" ht="14.2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</row>
    <row r="228" spans="1:47" ht="14.2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</row>
    <row r="229" spans="1:47" ht="14.2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</row>
    <row r="230" spans="1:47" ht="14.2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</row>
    <row r="231" spans="1:47" ht="14.2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</row>
    <row r="232" spans="1:47" ht="14.2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</row>
    <row r="233" spans="1:47" ht="14.2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</row>
    <row r="234" spans="1:47" ht="14.2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</row>
    <row r="235" spans="1:47" ht="14.2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</row>
    <row r="236" spans="1:47" ht="14.2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</row>
    <row r="237" spans="1:47" ht="14.2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</row>
    <row r="238" spans="1:47" ht="14.2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</row>
    <row r="239" spans="1:47" ht="14.2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</row>
    <row r="240" spans="1:47" ht="14.2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</row>
    <row r="241" spans="1:47" ht="14.2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</row>
    <row r="242" spans="1:47" ht="14.2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</row>
    <row r="243" spans="1:47" ht="14.2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</row>
    <row r="244" spans="1:47" ht="14.2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</row>
    <row r="245" spans="1:47" ht="14.2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</row>
    <row r="246" spans="1:47" ht="14.2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</row>
    <row r="247" spans="1:47" ht="14.2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</row>
    <row r="248" spans="1:47" ht="14.2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</row>
    <row r="249" spans="1:47" ht="14.2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</row>
    <row r="250" spans="1:47" ht="14.2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</row>
    <row r="251" spans="1:47" ht="14.2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</row>
    <row r="252" spans="1:47" ht="14.2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</row>
    <row r="253" spans="1:47" ht="14.2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</row>
    <row r="254" spans="1:47" ht="14.2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</row>
    <row r="255" spans="1:47" ht="14.2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</row>
    <row r="256" spans="1:47" ht="14.2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</row>
    <row r="257" spans="1:47" ht="14.2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</row>
    <row r="258" spans="1:47" ht="14.2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</row>
    <row r="259" spans="1:47" ht="14.2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</row>
    <row r="260" spans="1:47" ht="14.2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</row>
    <row r="261" spans="1:47" ht="14.2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</row>
    <row r="262" spans="1:47" ht="14.2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</row>
    <row r="263" spans="1:47" ht="14.2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</row>
    <row r="264" spans="1:47" ht="14.2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</row>
    <row r="265" spans="1:47" ht="14.2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</row>
    <row r="266" spans="1:47" ht="14.2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</row>
    <row r="267" spans="1:47" ht="14.2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</row>
    <row r="268" spans="1:47" ht="14.2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</row>
    <row r="269" spans="1:47" ht="14.2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</row>
    <row r="270" spans="1:47" ht="14.2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</row>
    <row r="271" spans="1:47" ht="14.2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</row>
    <row r="272" spans="1:47" ht="14.2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</row>
    <row r="273" spans="1:47" ht="14.2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</row>
    <row r="274" spans="1:47" ht="14.2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</row>
    <row r="275" spans="1:47" ht="14.2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</row>
    <row r="276" spans="1:47" ht="14.2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</row>
    <row r="277" spans="1:47" ht="14.2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</row>
    <row r="278" spans="1:47" ht="14.2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</row>
    <row r="279" spans="1:47" ht="14.2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</row>
    <row r="280" spans="1:47" ht="14.2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</row>
    <row r="281" spans="1:47" ht="14.2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</row>
    <row r="282" spans="1:47" ht="14.2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</row>
    <row r="283" spans="1:47" ht="14.2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</row>
    <row r="284" spans="1:47" ht="14.2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</row>
    <row r="285" spans="1:47" ht="14.2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</row>
    <row r="286" spans="1:47" ht="14.2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</row>
    <row r="287" spans="1:47" ht="14.2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</row>
    <row r="288" spans="1:47" ht="14.2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</row>
    <row r="289" spans="1:47" ht="14.2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</row>
    <row r="290" spans="1:47" ht="14.2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</row>
    <row r="291" spans="1:47" ht="14.2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</row>
    <row r="292" spans="1:47" ht="14.2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</row>
    <row r="293" spans="1:47" ht="14.2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</row>
    <row r="294" spans="1:47" ht="14.2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</row>
    <row r="295" spans="1:47" ht="14.2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</row>
    <row r="296" spans="1:47" ht="14.2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</row>
    <row r="297" spans="1:47" ht="14.2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</row>
    <row r="298" spans="1:47" ht="14.2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</row>
    <row r="299" spans="1:47" ht="14.2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</row>
    <row r="300" spans="1:47" ht="14.2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</row>
    <row r="301" spans="1:47" ht="14.2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</row>
    <row r="302" spans="1:47" ht="14.2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</row>
    <row r="303" spans="1:47" ht="14.2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</row>
    <row r="304" spans="1:47" ht="14.2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</row>
    <row r="305" spans="1:47" ht="14.2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</row>
    <row r="306" spans="1:47" ht="14.2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</row>
    <row r="307" spans="1:47" ht="14.2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</row>
    <row r="308" spans="1:47" ht="14.2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</row>
    <row r="309" spans="1:47" ht="14.2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</row>
    <row r="310" spans="1:47" ht="14.2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</row>
    <row r="311" spans="1:47" ht="14.2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</row>
    <row r="312" spans="1:47" ht="14.2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</row>
    <row r="313" spans="1:47" ht="14.2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</row>
    <row r="314" spans="1:47" ht="14.2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</row>
    <row r="315" spans="1:47" ht="14.2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</row>
    <row r="316" spans="1:47" ht="14.2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</row>
    <row r="317" spans="1:47" ht="14.2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</row>
    <row r="318" spans="1:47" ht="14.2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</row>
    <row r="319" spans="1:47" ht="14.2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</row>
    <row r="320" spans="1:47" ht="14.2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</row>
    <row r="321" spans="1:47" ht="14.2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</row>
    <row r="322" spans="1:47" ht="14.2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</row>
    <row r="323" spans="1:47" ht="14.2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</row>
    <row r="324" spans="1:47" ht="14.2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</row>
    <row r="325" spans="1:47" ht="14.2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</row>
    <row r="326" spans="1:47" ht="14.2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</row>
    <row r="327" spans="1:47" ht="14.2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</row>
    <row r="328" spans="1:47" ht="14.2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</row>
    <row r="329" spans="1:47" ht="14.2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</row>
    <row r="330" spans="1:47" ht="14.2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</row>
    <row r="331" spans="1:47" ht="14.2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</row>
    <row r="332" spans="1:47" ht="14.2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</row>
    <row r="333" spans="1:47" ht="14.2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</row>
    <row r="334" spans="1:47" ht="14.2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</row>
    <row r="335" spans="1:47" ht="14.2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</row>
    <row r="336" spans="1:47" ht="14.2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</row>
    <row r="337" spans="1:47" ht="14.2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</row>
    <row r="338" spans="1:47" ht="14.2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</row>
    <row r="339" spans="1:47" ht="14.2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</row>
    <row r="340" spans="1:47" ht="14.2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</row>
    <row r="341" spans="1:47" ht="14.2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</row>
    <row r="342" spans="1:47" ht="14.2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</row>
    <row r="343" spans="1:47" ht="14.2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</row>
    <row r="344" spans="1:47" ht="14.2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</row>
    <row r="345" spans="1:47" ht="14.2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</row>
    <row r="346" spans="1:47" ht="14.2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</row>
    <row r="347" spans="1:47" ht="14.2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</row>
    <row r="348" spans="1:47" ht="14.2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</row>
    <row r="349" spans="1:47" ht="14.2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</row>
    <row r="350" spans="1:47" ht="14.2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</row>
    <row r="351" spans="1:47" ht="14.2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</row>
    <row r="352" spans="1:47" ht="14.2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</row>
    <row r="353" spans="1:47" ht="14.2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</row>
    <row r="354" spans="1:47" ht="14.2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</row>
    <row r="355" spans="1:47" ht="14.2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</row>
    <row r="356" spans="1:47" ht="14.2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</row>
    <row r="357" spans="1:47" ht="14.2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</row>
    <row r="358" spans="1:47" ht="14.2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</row>
    <row r="359" spans="1:47" ht="14.2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</row>
    <row r="360" spans="1:47" ht="14.2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</row>
    <row r="361" spans="1:47" ht="14.2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</row>
    <row r="362" spans="1:47" ht="14.2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</row>
    <row r="363" spans="1:47" ht="14.2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</row>
    <row r="364" spans="1:47" ht="14.2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</row>
    <row r="365" spans="1:47" ht="14.2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</row>
    <row r="366" spans="1:47" ht="14.2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</row>
    <row r="367" spans="1:47" ht="14.2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</row>
    <row r="368" spans="1:47" ht="14.2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</row>
    <row r="369" spans="1:47" ht="14.2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</row>
    <row r="370" spans="1:47" ht="14.2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</row>
    <row r="371" spans="1:47" ht="14.2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</row>
    <row r="372" spans="1:47" ht="14.2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</row>
    <row r="373" spans="1:47" ht="14.2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</row>
    <row r="374" spans="1:47" ht="14.2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</row>
    <row r="375" spans="1:47" ht="14.2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</row>
    <row r="376" spans="1:47" ht="14.2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</row>
    <row r="377" spans="1:47" ht="14.2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</row>
    <row r="378" spans="1:47" ht="14.2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</row>
    <row r="379" spans="1:47" ht="14.2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</row>
    <row r="380" spans="1:47" ht="14.2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</row>
    <row r="381" spans="1:47" ht="14.2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</row>
    <row r="382" spans="1:47" ht="14.2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</row>
    <row r="383" spans="1:47" ht="14.2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</row>
    <row r="384" spans="1:47" ht="14.2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</row>
    <row r="385" spans="1:47" ht="14.2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</row>
    <row r="386" spans="1:47" ht="14.2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</row>
    <row r="387" spans="1:47" ht="14.2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</row>
    <row r="388" spans="1:47" ht="14.2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</row>
    <row r="389" spans="1:47" ht="14.2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</row>
    <row r="390" spans="1:47" ht="14.2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</row>
    <row r="391" spans="1:47" ht="14.2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</row>
    <row r="392" spans="1:47" ht="14.2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</row>
    <row r="393" spans="1:47" ht="14.2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</row>
    <row r="394" spans="1:47" ht="14.2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</row>
    <row r="395" spans="1:47" ht="14.2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</row>
    <row r="396" spans="1:47" ht="14.2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</row>
    <row r="397" spans="1:47" ht="14.2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</row>
    <row r="398" spans="1:47" ht="14.2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</row>
    <row r="399" spans="1:47" ht="14.2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</row>
    <row r="400" spans="1:47" ht="14.2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</row>
    <row r="401" spans="1:47" ht="14.2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</row>
    <row r="402" spans="1:47" ht="14.2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</row>
    <row r="403" spans="1:47" ht="14.2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</row>
    <row r="404" spans="1:47" ht="14.2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</row>
    <row r="405" spans="1:47" ht="14.2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</row>
    <row r="406" spans="1:47" ht="14.2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</row>
    <row r="407" spans="1:47" ht="14.2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</row>
    <row r="408" spans="1:47" ht="14.2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</row>
    <row r="409" spans="1:47" ht="14.2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</row>
    <row r="410" spans="1:47" ht="14.2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</row>
    <row r="411" spans="1:47" ht="14.2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109"/>
      <c r="AS411" s="109"/>
      <c r="AT411" s="109"/>
      <c r="AU411" s="109"/>
    </row>
    <row r="412" spans="1:47" ht="14.2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109"/>
      <c r="AS412" s="109"/>
      <c r="AT412" s="109"/>
      <c r="AU412" s="109"/>
    </row>
    <row r="413" spans="1:47" ht="14.2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109"/>
      <c r="AS413" s="109"/>
      <c r="AT413" s="109"/>
      <c r="AU413" s="109"/>
    </row>
    <row r="414" spans="1:47" ht="14.2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109"/>
      <c r="AS414" s="109"/>
      <c r="AT414" s="109"/>
      <c r="AU414" s="109"/>
    </row>
    <row r="415" spans="1:47" ht="14.2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109"/>
      <c r="AS415" s="109"/>
      <c r="AT415" s="109"/>
      <c r="AU415" s="109"/>
    </row>
    <row r="416" spans="1:47" ht="14.2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109"/>
      <c r="AS416" s="109"/>
      <c r="AT416" s="109"/>
      <c r="AU416" s="109"/>
    </row>
    <row r="417" spans="1:47" ht="14.2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109"/>
      <c r="AS417" s="109"/>
      <c r="AT417" s="109"/>
      <c r="AU417" s="109"/>
    </row>
    <row r="418" spans="1:47" ht="14.2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109"/>
      <c r="AS418" s="109"/>
      <c r="AT418" s="109"/>
      <c r="AU418" s="109"/>
    </row>
    <row r="419" spans="1:47" ht="14.2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109"/>
      <c r="AS419" s="109"/>
      <c r="AT419" s="109"/>
      <c r="AU419" s="109"/>
    </row>
    <row r="420" spans="1:47" ht="14.2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109"/>
      <c r="AS420" s="109"/>
      <c r="AT420" s="109"/>
      <c r="AU420" s="109"/>
    </row>
    <row r="421" spans="1:47" ht="14.2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109"/>
      <c r="AS421" s="109"/>
      <c r="AT421" s="109"/>
      <c r="AU421" s="109"/>
    </row>
    <row r="422" spans="1:47" ht="14.2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109"/>
      <c r="AS422" s="109"/>
      <c r="AT422" s="109"/>
      <c r="AU422" s="109"/>
    </row>
    <row r="423" spans="1:47" ht="14.2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109"/>
      <c r="AS423" s="109"/>
      <c r="AT423" s="109"/>
      <c r="AU423" s="109"/>
    </row>
    <row r="424" spans="1:47" ht="14.2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109"/>
      <c r="AS424" s="109"/>
      <c r="AT424" s="109"/>
      <c r="AU424" s="109"/>
    </row>
    <row r="425" spans="1:47" ht="14.2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109"/>
      <c r="AS425" s="109"/>
      <c r="AT425" s="109"/>
      <c r="AU425" s="109"/>
    </row>
    <row r="426" spans="1:47" ht="14.2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109"/>
      <c r="AS426" s="109"/>
      <c r="AT426" s="109"/>
      <c r="AU426" s="109"/>
    </row>
    <row r="427" spans="1:47" ht="14.2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109"/>
      <c r="AS427" s="109"/>
      <c r="AT427" s="109"/>
      <c r="AU427" s="109"/>
    </row>
    <row r="428" spans="1:47" ht="14.2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109"/>
      <c r="AS428" s="109"/>
      <c r="AT428" s="109"/>
      <c r="AU428" s="109"/>
    </row>
    <row r="429" spans="1:47" ht="14.2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109"/>
      <c r="AS429" s="109"/>
      <c r="AT429" s="109"/>
      <c r="AU429" s="109"/>
    </row>
    <row r="430" spans="1:47" ht="14.2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109"/>
      <c r="AS430" s="109"/>
      <c r="AT430" s="109"/>
      <c r="AU430" s="109"/>
    </row>
    <row r="431" spans="1:47" ht="14.2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109"/>
      <c r="AS431" s="109"/>
      <c r="AT431" s="109"/>
      <c r="AU431" s="109"/>
    </row>
    <row r="432" spans="1:47" ht="14.2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109"/>
      <c r="AS432" s="109"/>
      <c r="AT432" s="109"/>
      <c r="AU432" s="109"/>
    </row>
    <row r="433" spans="1:47" ht="14.2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109"/>
      <c r="AS433" s="109"/>
      <c r="AT433" s="109"/>
      <c r="AU433" s="109"/>
    </row>
    <row r="434" spans="1:47" ht="14.2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109"/>
      <c r="AS434" s="109"/>
      <c r="AT434" s="109"/>
      <c r="AU434" s="109"/>
    </row>
    <row r="435" spans="1:47" ht="14.2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109"/>
      <c r="AS435" s="109"/>
      <c r="AT435" s="109"/>
      <c r="AU435" s="109"/>
    </row>
    <row r="436" spans="1:47" ht="14.2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109"/>
      <c r="AS436" s="109"/>
      <c r="AT436" s="109"/>
      <c r="AU436" s="109"/>
    </row>
    <row r="437" spans="1:47" ht="14.2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109"/>
      <c r="AS437" s="109"/>
      <c r="AT437" s="109"/>
      <c r="AU437" s="109"/>
    </row>
    <row r="438" spans="1:47" ht="14.2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109"/>
      <c r="AS438" s="109"/>
      <c r="AT438" s="109"/>
      <c r="AU438" s="109"/>
    </row>
    <row r="439" spans="1:47" ht="14.2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109"/>
      <c r="AS439" s="109"/>
      <c r="AT439" s="109"/>
      <c r="AU439" s="109"/>
    </row>
    <row r="440" spans="1:47" ht="14.2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109"/>
      <c r="AS440" s="109"/>
      <c r="AT440" s="109"/>
      <c r="AU440" s="109"/>
    </row>
    <row r="441" spans="1:47" ht="14.2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109"/>
      <c r="AS441" s="109"/>
      <c r="AT441" s="109"/>
      <c r="AU441" s="109"/>
    </row>
    <row r="442" spans="1:47" ht="14.2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109"/>
      <c r="AS442" s="109"/>
      <c r="AT442" s="109"/>
      <c r="AU442" s="109"/>
    </row>
    <row r="443" spans="1:47" ht="14.2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109"/>
      <c r="AS443" s="109"/>
      <c r="AT443" s="109"/>
      <c r="AU443" s="109"/>
    </row>
    <row r="444" spans="1:47" ht="14.2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109"/>
      <c r="AS444" s="109"/>
      <c r="AT444" s="109"/>
      <c r="AU444" s="109"/>
    </row>
    <row r="445" spans="1:47" ht="14.2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</row>
    <row r="446" spans="1:47" ht="14.2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</row>
    <row r="447" spans="1:47" ht="14.2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</row>
    <row r="448" spans="1:47" ht="14.2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</row>
    <row r="449" spans="1:47" ht="14.2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</row>
    <row r="450" spans="1:47" ht="14.2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</row>
    <row r="451" spans="1:47" ht="14.2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</row>
    <row r="452" spans="1:47" ht="14.2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</row>
    <row r="453" spans="1:47" ht="14.2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</row>
    <row r="454" spans="1:47" ht="14.2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</row>
    <row r="455" spans="1:47" ht="14.2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</row>
    <row r="456" spans="1:47" ht="14.2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</row>
    <row r="457" spans="1:47" ht="14.2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</row>
    <row r="458" spans="1:47" ht="14.2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</row>
    <row r="459" spans="1:47" ht="14.2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</row>
    <row r="460" spans="1:47" ht="14.2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</row>
    <row r="461" spans="1:47" ht="14.2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</row>
    <row r="462" spans="1:47" ht="14.2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</row>
    <row r="463" spans="1:47" ht="14.2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</row>
    <row r="464" spans="1:47" ht="14.2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</row>
    <row r="465" spans="1:47" ht="14.2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</row>
    <row r="466" spans="1:47" ht="14.2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</row>
    <row r="467" spans="1:47" ht="14.2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</row>
    <row r="468" spans="1:47" ht="14.2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</row>
    <row r="469" spans="1:47" ht="14.2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</row>
    <row r="470" spans="1:47" ht="14.2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</row>
    <row r="471" spans="1:47" ht="14.2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</row>
    <row r="472" spans="1:47" ht="14.2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</row>
    <row r="473" spans="1:47" ht="14.2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</row>
    <row r="474" spans="1:47" ht="14.2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</row>
    <row r="475" spans="1:47" ht="14.2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</row>
    <row r="476" spans="1:47" ht="14.2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</row>
    <row r="477" spans="1:47" ht="14.2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</row>
    <row r="478" spans="1:47" ht="14.2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</row>
    <row r="479" spans="1:47" ht="14.2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</row>
    <row r="480" spans="1:47" ht="14.2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</row>
    <row r="481" spans="1:47" ht="14.2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</row>
    <row r="482" spans="1:47" ht="14.2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</row>
    <row r="483" spans="1:47" ht="14.2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</row>
    <row r="484" spans="1:47" ht="14.2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</row>
    <row r="485" spans="1:47" ht="14.2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</row>
    <row r="486" spans="1:47" ht="14.2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</row>
    <row r="487" spans="1:47" ht="14.2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</row>
    <row r="488" spans="1:47" ht="14.2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</row>
    <row r="489" spans="1:47" ht="14.2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</row>
    <row r="490" spans="1:47" ht="14.2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</row>
    <row r="491" spans="1:47" ht="14.2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</row>
    <row r="492" spans="1:47" ht="14.2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</row>
    <row r="493" spans="1:47" ht="14.2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</row>
    <row r="494" spans="1:47" ht="14.2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</row>
    <row r="495" spans="1:47" ht="14.2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</row>
    <row r="496" spans="1:47" ht="14.2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</row>
    <row r="497" spans="1:47" ht="14.2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</row>
    <row r="498" spans="1:47" ht="14.2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</row>
    <row r="499" spans="1:47" ht="14.2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</row>
    <row r="500" spans="1:47" ht="14.2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</row>
    <row r="501" spans="1:47" ht="14.2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</row>
    <row r="502" spans="1:47" ht="14.2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</row>
    <row r="503" spans="1:47" ht="14.2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</row>
    <row r="504" spans="1:47" ht="14.2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</row>
    <row r="505" spans="1:47" ht="14.2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</row>
    <row r="506" spans="1:47" ht="14.2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</row>
    <row r="507" spans="1:47" ht="14.2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</row>
    <row r="508" spans="1:47" ht="14.2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</row>
    <row r="509" spans="1:47" ht="14.2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</row>
    <row r="510" spans="1:47" ht="14.2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</row>
    <row r="511" spans="1:47" ht="14.2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</row>
    <row r="512" spans="1:47" ht="14.2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</row>
    <row r="513" spans="1:47" ht="14.2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</row>
    <row r="514" spans="1:47" ht="14.2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</row>
    <row r="515" spans="1:47" ht="14.2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</row>
    <row r="516" spans="1:47" ht="14.2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</row>
    <row r="517" spans="1:47" ht="14.2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</row>
    <row r="518" spans="1:47" ht="14.2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</row>
    <row r="519" spans="1:47" ht="14.2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</row>
    <row r="520" spans="1:47" ht="14.2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</row>
    <row r="521" spans="1:47" ht="14.2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</row>
    <row r="522" spans="1:47" ht="14.2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</row>
    <row r="523" spans="1:47" ht="14.2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</row>
    <row r="524" spans="1:47" ht="14.2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</row>
    <row r="525" spans="1:47" ht="14.2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</row>
    <row r="526" spans="1:47" ht="14.2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</row>
    <row r="527" spans="1:47" ht="14.2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</row>
    <row r="528" spans="1:47" ht="14.2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</row>
    <row r="529" spans="1:47" ht="14.2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</row>
    <row r="530" spans="1:47" ht="14.2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</row>
    <row r="531" spans="1:47" ht="14.2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</row>
    <row r="532" spans="1:47" ht="14.2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</row>
    <row r="533" spans="1:47" ht="14.2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</row>
    <row r="534" spans="1:47" ht="14.2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</row>
    <row r="535" spans="1:47" ht="14.2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</row>
    <row r="536" spans="1:47" ht="14.2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</row>
    <row r="537" spans="1:47" ht="14.2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</row>
    <row r="538" spans="1:47" ht="14.2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</row>
    <row r="539" spans="1:47" ht="14.2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</row>
    <row r="540" spans="1:47" ht="14.2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</row>
    <row r="541" spans="1:47" ht="14.2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</row>
    <row r="542" spans="1:47" ht="14.2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</row>
    <row r="543" spans="1:47" ht="14.2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</row>
    <row r="544" spans="1:47" ht="14.2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</row>
    <row r="545" spans="1:47" ht="14.2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</row>
    <row r="546" spans="1:47" ht="14.2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109"/>
      <c r="AS546" s="109"/>
      <c r="AT546" s="109"/>
      <c r="AU546" s="109"/>
    </row>
    <row r="547" spans="1:47" ht="14.2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109"/>
      <c r="AS547" s="109"/>
      <c r="AT547" s="109"/>
      <c r="AU547" s="109"/>
    </row>
    <row r="548" spans="1:47" ht="14.2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109"/>
      <c r="AS548" s="109"/>
      <c r="AT548" s="109"/>
      <c r="AU548" s="109"/>
    </row>
    <row r="549" spans="1:47" ht="14.2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109"/>
      <c r="AS549" s="109"/>
      <c r="AT549" s="109"/>
      <c r="AU549" s="109"/>
    </row>
    <row r="550" spans="1:47" ht="14.2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109"/>
      <c r="AS550" s="109"/>
      <c r="AT550" s="109"/>
      <c r="AU550" s="109"/>
    </row>
    <row r="551" spans="1:47" ht="14.2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109"/>
      <c r="AS551" s="109"/>
      <c r="AT551" s="109"/>
      <c r="AU551" s="109"/>
    </row>
    <row r="552" spans="1:47" ht="14.2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109"/>
      <c r="AS552" s="109"/>
      <c r="AT552" s="109"/>
      <c r="AU552" s="109"/>
    </row>
    <row r="553" spans="1:47" ht="14.2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109"/>
      <c r="AS553" s="109"/>
      <c r="AT553" s="109"/>
      <c r="AU553" s="109"/>
    </row>
    <row r="554" spans="1:47" ht="14.2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</row>
    <row r="555" spans="1:47" ht="14.2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</row>
    <row r="556" spans="1:47" ht="14.2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</row>
    <row r="557" spans="1:47" ht="14.2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</row>
    <row r="558" spans="1:47" ht="14.2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</row>
    <row r="559" spans="1:47" ht="14.2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</row>
    <row r="560" spans="1:47" ht="14.2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</row>
    <row r="561" spans="1:47" ht="14.2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</row>
    <row r="562" spans="1:47" ht="14.2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</row>
    <row r="563" spans="1:47" ht="14.2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</row>
    <row r="564" spans="1:47" ht="14.2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</row>
    <row r="565" spans="1:47" ht="14.2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</row>
    <row r="566" spans="1:47" ht="14.2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</row>
    <row r="567" spans="1:47" ht="14.2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</row>
    <row r="568" spans="1:47" ht="14.2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</row>
    <row r="569" spans="1:47" ht="14.2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</row>
    <row r="570" spans="1:47" ht="14.2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</row>
    <row r="571" spans="1:47" ht="14.2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</row>
    <row r="572" spans="1:47" ht="14.2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</row>
    <row r="573" spans="1:47" ht="14.2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</row>
    <row r="574" spans="1:47" ht="14.2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</row>
    <row r="575" spans="1:47" ht="14.2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</row>
    <row r="576" spans="1:47" ht="14.2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</row>
    <row r="577" spans="1:47" ht="14.2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</row>
    <row r="578" spans="1:47" ht="14.2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</row>
    <row r="579" spans="1:47" ht="14.2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</row>
    <row r="580" spans="1:47" ht="14.2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</row>
    <row r="581" spans="1:47" ht="14.2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</row>
    <row r="582" spans="1:47" ht="14.2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</row>
    <row r="583" spans="1:47" ht="14.2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</row>
    <row r="584" spans="1:47" ht="14.2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</row>
    <row r="585" spans="1:47" ht="14.2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</row>
    <row r="586" spans="1:47" ht="14.2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</row>
    <row r="587" spans="1:47" ht="14.2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</row>
    <row r="588" spans="1:47" ht="14.2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</row>
    <row r="589" spans="1:47" ht="14.2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</row>
    <row r="590" spans="1:47" ht="14.2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</row>
    <row r="591" spans="1:47" ht="14.2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</row>
    <row r="592" spans="1:47" ht="14.2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</row>
    <row r="593" spans="1:47" ht="14.2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</row>
    <row r="594" spans="1:47" ht="14.2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</row>
    <row r="595" spans="1:47" ht="14.2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</row>
    <row r="596" spans="1:47" ht="14.2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</row>
    <row r="597" spans="1:47" ht="14.2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</row>
    <row r="598" spans="1:47" ht="14.2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</row>
    <row r="599" spans="1:47" ht="14.2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</row>
    <row r="600" spans="1:47" ht="14.2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</row>
    <row r="601" spans="1:47" ht="14.2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</row>
    <row r="602" spans="1:47" ht="14.2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</row>
    <row r="603" spans="1:47" ht="14.2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</row>
    <row r="604" spans="1:47" ht="14.2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</row>
    <row r="605" spans="1:47" ht="14.2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</row>
    <row r="606" spans="1:47" ht="14.2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</row>
    <row r="607" spans="1:47" ht="14.2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</row>
    <row r="608" spans="1:47" ht="14.2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</row>
    <row r="609" spans="1:47" ht="14.2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</row>
    <row r="610" spans="1:47" ht="14.2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</row>
    <row r="611" spans="1:47" ht="14.2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</row>
    <row r="612" spans="1:47" ht="14.2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</row>
    <row r="613" spans="1:47" ht="14.2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</row>
    <row r="614" spans="1:47" ht="14.2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</row>
    <row r="615" spans="1:47" ht="14.2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</row>
    <row r="616" spans="1:47" ht="14.2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</row>
    <row r="617" spans="1:47" ht="14.2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</row>
    <row r="618" spans="1:47" ht="14.2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</row>
    <row r="619" spans="1:47" ht="14.2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</row>
    <row r="620" spans="1:47" ht="14.2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</row>
    <row r="621" spans="1:47" ht="14.2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</row>
    <row r="622" spans="1:47" ht="14.2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</row>
    <row r="623" spans="1:47" ht="14.2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</row>
    <row r="624" spans="1:47" ht="14.2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</row>
    <row r="625" spans="1:47" ht="14.2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</row>
    <row r="626" spans="1:47" ht="14.2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</row>
    <row r="627" spans="1:47" ht="14.2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</row>
    <row r="628" spans="1:47" ht="14.2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</row>
    <row r="629" spans="1:47" ht="14.2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</row>
    <row r="630" spans="1:47" ht="14.2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</row>
    <row r="631" spans="1:47" ht="14.2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</row>
    <row r="632" spans="1:47" ht="14.2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</row>
    <row r="633" spans="1:47" ht="14.2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</row>
    <row r="634" spans="1:47" ht="14.2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</row>
    <row r="635" spans="1:47" ht="14.2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</row>
    <row r="636" spans="1:47" ht="14.2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</row>
    <row r="637" spans="1:47" ht="14.2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</row>
    <row r="638" spans="1:47" ht="14.2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</row>
    <row r="639" spans="1:47" ht="14.2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</row>
    <row r="640" spans="1:47" ht="14.2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</row>
    <row r="641" spans="1:47" ht="14.2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</row>
    <row r="642" spans="1:47" ht="14.2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</row>
    <row r="643" spans="1:47" ht="14.2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</row>
    <row r="644" spans="1:47" ht="14.2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109"/>
      <c r="AS644" s="109"/>
      <c r="AT644" s="109"/>
      <c r="AU644" s="109"/>
    </row>
    <row r="645" spans="1:47" ht="14.2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</row>
    <row r="646" spans="1:47" ht="14.2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</row>
    <row r="647" spans="1:47" ht="14.2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</row>
    <row r="648" spans="1:47" ht="14.2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</row>
    <row r="649" spans="1:47" ht="14.2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</row>
    <row r="650" spans="1:47" ht="14.2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</row>
    <row r="651" spans="1:47" ht="14.2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</row>
    <row r="652" spans="1:47" ht="14.2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</row>
    <row r="653" spans="1:47" ht="14.2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109"/>
      <c r="AS653" s="109"/>
      <c r="AT653" s="109"/>
      <c r="AU653" s="109"/>
    </row>
    <row r="654" spans="1:47" ht="14.2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109"/>
      <c r="AS654" s="109"/>
      <c r="AT654" s="109"/>
      <c r="AU654" s="109"/>
    </row>
    <row r="655" spans="1:47" ht="14.2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</row>
    <row r="656" spans="1:47" ht="14.2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</row>
    <row r="657" spans="1:47" ht="14.2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</row>
    <row r="658" spans="1:47" ht="14.2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</row>
    <row r="659" spans="1:47" ht="14.2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</row>
    <row r="660" spans="1:47" ht="14.2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</row>
    <row r="661" spans="1:47" ht="14.2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</row>
    <row r="662" spans="1:47" ht="14.2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</row>
    <row r="663" spans="1:47" ht="14.2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</row>
    <row r="664" spans="1:47" ht="14.2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</row>
    <row r="665" spans="1:47" ht="14.2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</row>
    <row r="666" spans="1:47" ht="14.2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</row>
    <row r="667" spans="1:47" ht="14.2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</row>
    <row r="668" spans="1:47" ht="14.2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</row>
    <row r="669" spans="1:47" ht="14.2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</row>
    <row r="670" spans="1:47" ht="14.2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</row>
    <row r="671" spans="1:47" ht="14.2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</row>
    <row r="672" spans="1:47" ht="14.2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</row>
    <row r="673" spans="1:47" ht="14.2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</row>
    <row r="674" spans="1:47" ht="14.2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</row>
    <row r="675" spans="1:47" ht="14.2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</row>
    <row r="676" spans="1:47" ht="14.2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</row>
    <row r="677" spans="1:47" ht="14.2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</row>
    <row r="678" spans="1:47" ht="14.2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</row>
    <row r="679" spans="1:47" ht="14.2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</row>
    <row r="680" spans="1:47" ht="14.2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</row>
    <row r="681" spans="1:47" ht="14.2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</row>
    <row r="682" spans="1:47" ht="14.2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</row>
    <row r="683" spans="1:47" ht="14.2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</row>
    <row r="684" spans="1:47" ht="14.2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</row>
    <row r="685" spans="1:47" ht="14.2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</row>
    <row r="686" spans="1:47" ht="14.2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</row>
    <row r="687" spans="1:47" ht="14.2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</row>
    <row r="688" spans="1:47" ht="14.2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</row>
    <row r="689" spans="1:47" ht="14.2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109"/>
      <c r="AS689" s="109"/>
      <c r="AT689" s="109"/>
      <c r="AU689" s="109"/>
    </row>
    <row r="690" spans="1:47" ht="14.2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109"/>
      <c r="AS690" s="109"/>
      <c r="AT690" s="109"/>
      <c r="AU690" s="109"/>
    </row>
    <row r="691" spans="1:47" ht="14.2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</row>
    <row r="692" spans="1:47" ht="14.2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</row>
    <row r="693" spans="1:47" ht="14.2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</row>
    <row r="694" spans="1:47" ht="14.2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</row>
    <row r="695" spans="1:47" ht="14.2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109"/>
      <c r="AS695" s="109"/>
      <c r="AT695" s="109"/>
      <c r="AU695" s="109"/>
    </row>
    <row r="696" spans="1:47" ht="14.2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109"/>
      <c r="AS696" s="109"/>
      <c r="AT696" s="109"/>
      <c r="AU696" s="109"/>
    </row>
    <row r="697" spans="1:47" ht="14.2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</row>
    <row r="698" spans="1:47" ht="14.2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</row>
    <row r="699" spans="1:47" ht="14.2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</row>
    <row r="700" spans="1:47" ht="14.2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109"/>
      <c r="AS700" s="109"/>
      <c r="AT700" s="109"/>
      <c r="AU700" s="109"/>
    </row>
    <row r="701" spans="1:47" ht="14.2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109"/>
      <c r="AS701" s="109"/>
      <c r="AT701" s="109"/>
      <c r="AU701" s="109"/>
    </row>
    <row r="702" spans="1:47" ht="14.2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109"/>
      <c r="AS702" s="109"/>
      <c r="AT702" s="109"/>
      <c r="AU702" s="109"/>
    </row>
    <row r="703" spans="1:47" ht="14.2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109"/>
      <c r="AS703" s="109"/>
      <c r="AT703" s="109"/>
      <c r="AU703" s="109"/>
    </row>
    <row r="704" spans="1:47" ht="14.2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</row>
    <row r="705" spans="1:47" ht="14.2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</row>
    <row r="706" spans="1:47" ht="14.2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</row>
    <row r="707" spans="1:47" ht="14.2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</row>
    <row r="708" spans="1:47" ht="14.2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109"/>
      <c r="AS708" s="109"/>
      <c r="AT708" s="109"/>
      <c r="AU708" s="109"/>
    </row>
    <row r="709" spans="1:47" ht="14.2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109"/>
      <c r="AS709" s="109"/>
      <c r="AT709" s="109"/>
      <c r="AU709" s="109"/>
    </row>
    <row r="710" spans="1:47" ht="14.2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109"/>
      <c r="AS710" s="109"/>
      <c r="AT710" s="109"/>
      <c r="AU710" s="109"/>
    </row>
    <row r="711" spans="1:47" ht="14.2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109"/>
      <c r="AS711" s="109"/>
      <c r="AT711" s="109"/>
      <c r="AU711" s="109"/>
    </row>
    <row r="712" spans="1:47" ht="14.2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</row>
    <row r="713" spans="1:47" ht="14.2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</row>
    <row r="714" spans="1:47" ht="14.2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</row>
    <row r="715" spans="1:47" ht="14.2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</row>
    <row r="716" spans="1:47" ht="14.2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</row>
    <row r="717" spans="1:47" ht="14.2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</row>
    <row r="718" spans="1:47" ht="14.2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109"/>
      <c r="AS718" s="109"/>
      <c r="AT718" s="109"/>
      <c r="AU718" s="109"/>
    </row>
    <row r="719" spans="1:47" ht="14.2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</row>
    <row r="720" spans="1:47" ht="14.2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</row>
    <row r="721" spans="1:47" ht="14.2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</row>
    <row r="722" spans="1:47" ht="14.2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</row>
    <row r="723" spans="1:47" ht="14.2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</row>
    <row r="724" spans="1:47" ht="14.2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</row>
    <row r="725" spans="1:47" ht="14.2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</row>
    <row r="726" spans="1:47" ht="14.2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</row>
    <row r="727" spans="1:47" ht="14.2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</row>
    <row r="728" spans="1:47" ht="14.2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</row>
    <row r="729" spans="1:47" ht="14.2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</row>
    <row r="730" spans="1:47" ht="14.2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109"/>
      <c r="AS730" s="109"/>
      <c r="AT730" s="109"/>
      <c r="AU730" s="109"/>
    </row>
    <row r="731" spans="1:47" ht="14.2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</row>
    <row r="732" spans="1:47" ht="14.2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09"/>
      <c r="AS732" s="109"/>
      <c r="AT732" s="109"/>
      <c r="AU732" s="109"/>
    </row>
    <row r="733" spans="1:47" ht="14.2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</row>
    <row r="734" spans="1:47" ht="14.2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109"/>
      <c r="AS734" s="109"/>
      <c r="AT734" s="109"/>
      <c r="AU734" s="109"/>
    </row>
    <row r="735" spans="1:47" ht="14.2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109"/>
      <c r="AS735" s="109"/>
      <c r="AT735" s="109"/>
      <c r="AU735" s="109"/>
    </row>
    <row r="736" spans="1:47" ht="14.2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</row>
    <row r="737" spans="1:47" ht="14.2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</row>
    <row r="738" spans="1:47" ht="14.2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</row>
    <row r="739" spans="1:47" ht="14.2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</row>
    <row r="740" spans="1:47" ht="14.2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</row>
    <row r="741" spans="1:47" ht="14.2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</row>
    <row r="742" spans="1:47" ht="14.2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</row>
    <row r="743" spans="1:47" ht="14.2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109"/>
      <c r="AS743" s="109"/>
      <c r="AT743" s="109"/>
      <c r="AU743" s="109"/>
    </row>
    <row r="744" spans="1:47" ht="14.2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109"/>
      <c r="AS744" s="109"/>
      <c r="AT744" s="109"/>
      <c r="AU744" s="109"/>
    </row>
    <row r="745" spans="1:47" ht="14.2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109"/>
      <c r="AS745" s="109"/>
      <c r="AT745" s="109"/>
      <c r="AU745" s="109"/>
    </row>
    <row r="746" spans="1:47" ht="14.2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109"/>
      <c r="AS746" s="109"/>
      <c r="AT746" s="109"/>
      <c r="AU746" s="109"/>
    </row>
    <row r="747" spans="1:47" ht="14.2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109"/>
      <c r="AS747" s="109"/>
      <c r="AT747" s="109"/>
      <c r="AU747" s="109"/>
    </row>
    <row r="748" spans="1:47" ht="14.2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109"/>
      <c r="AS748" s="109"/>
      <c r="AT748" s="109"/>
      <c r="AU748" s="109"/>
    </row>
    <row r="749" spans="1:47" ht="14.2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109"/>
      <c r="AS749" s="109"/>
      <c r="AT749" s="109"/>
      <c r="AU749" s="109"/>
    </row>
    <row r="750" spans="1:47" ht="14.2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109"/>
      <c r="AS750" s="109"/>
      <c r="AT750" s="109"/>
      <c r="AU750" s="109"/>
    </row>
    <row r="751" spans="1:47" ht="14.2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109"/>
      <c r="AS751" s="109"/>
      <c r="AT751" s="109"/>
      <c r="AU751" s="109"/>
    </row>
    <row r="752" spans="1:47" ht="14.2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109"/>
      <c r="AS752" s="109"/>
      <c r="AT752" s="109"/>
      <c r="AU752" s="109"/>
    </row>
    <row r="753" spans="1:47" ht="14.2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</row>
    <row r="754" spans="1:47" ht="14.2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</row>
    <row r="755" spans="1:47" ht="14.2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</row>
    <row r="756" spans="1:47" ht="14.2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</row>
    <row r="757" spans="1:47" ht="14.2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</row>
    <row r="758" spans="1:47" ht="14.2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</row>
    <row r="759" spans="1:47" ht="14.2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</row>
    <row r="760" spans="1:47" ht="14.2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</row>
    <row r="761" spans="1:47" ht="14.2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</row>
    <row r="762" spans="1:47" ht="14.2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</row>
    <row r="763" spans="1:47" ht="14.2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</row>
    <row r="764" spans="1:47" ht="14.2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</row>
    <row r="765" spans="1:47" ht="14.2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109"/>
      <c r="AS765" s="109"/>
      <c r="AT765" s="109"/>
      <c r="AU765" s="109"/>
    </row>
    <row r="766" spans="1:47" ht="14.2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109"/>
      <c r="AS766" s="109"/>
      <c r="AT766" s="109"/>
      <c r="AU766" s="109"/>
    </row>
    <row r="767" spans="1:47" ht="14.2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109"/>
      <c r="AS767" s="109"/>
      <c r="AT767" s="109"/>
      <c r="AU767" s="109"/>
    </row>
    <row r="768" spans="1:47" ht="14.2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109"/>
      <c r="AS768" s="109"/>
      <c r="AT768" s="109"/>
      <c r="AU768" s="109"/>
    </row>
    <row r="769" spans="1:47" ht="14.2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109"/>
      <c r="AS769" s="109"/>
      <c r="AT769" s="109"/>
      <c r="AU769" s="109"/>
    </row>
    <row r="770" spans="1:47" ht="14.2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</row>
    <row r="771" spans="1:47" ht="14.2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109"/>
      <c r="AS771" s="109"/>
      <c r="AT771" s="109"/>
      <c r="AU771" s="109"/>
    </row>
    <row r="772" spans="1:47" ht="14.2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</row>
    <row r="773" spans="1:47" ht="14.2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</row>
    <row r="774" spans="1:47" ht="14.2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</row>
    <row r="775" spans="1:47" ht="14.2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</row>
    <row r="776" spans="1:47" ht="14.2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</row>
    <row r="777" spans="1:47" ht="14.2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</row>
    <row r="778" spans="1:47" ht="14.2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</row>
    <row r="779" spans="1:47" ht="14.2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</row>
    <row r="780" spans="1:47" ht="14.2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</row>
    <row r="781" spans="1:47" ht="14.2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</row>
    <row r="782" spans="1:47" ht="14.2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</row>
    <row r="783" spans="1:47" ht="14.2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</row>
    <row r="784" spans="1:47" ht="14.2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109"/>
      <c r="AS784" s="109"/>
      <c r="AT784" s="109"/>
      <c r="AU784" s="109"/>
    </row>
    <row r="785" spans="1:47" ht="14.2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</row>
    <row r="786" spans="1:47" ht="14.2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</row>
    <row r="787" spans="1:47" ht="14.2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</row>
    <row r="788" spans="1:47" ht="14.2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</row>
    <row r="789" spans="1:47" ht="14.2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</row>
    <row r="790" spans="1:47" ht="14.2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</row>
    <row r="791" spans="1:47" ht="14.2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</row>
    <row r="792" spans="1:47" ht="14.2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</row>
    <row r="793" spans="1:47" ht="14.2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</row>
    <row r="794" spans="1:47" ht="14.2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</row>
    <row r="795" spans="1:47" ht="14.2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</row>
    <row r="796" spans="1:47" ht="14.2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</row>
    <row r="797" spans="1:47" ht="14.2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</row>
    <row r="798" spans="1:47" ht="14.2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</row>
    <row r="799" spans="1:47" ht="14.2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</row>
    <row r="800" spans="1:47" ht="14.2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</row>
    <row r="801" spans="1:47" ht="14.2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</row>
    <row r="802" spans="1:47" ht="14.2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</row>
    <row r="803" spans="1:47" ht="14.2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</row>
    <row r="804" spans="1:47" ht="14.2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</row>
    <row r="805" spans="1:47" ht="14.2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</row>
    <row r="806" spans="1:47" ht="14.2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</row>
    <row r="807" spans="1:47" ht="14.2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</row>
    <row r="808" spans="1:47" ht="14.2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</row>
    <row r="809" spans="1:47" ht="14.2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</row>
    <row r="810" spans="1:47" ht="14.2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</row>
    <row r="811" spans="1:47" ht="14.2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</row>
    <row r="812" spans="1:47" ht="14.2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</row>
    <row r="813" spans="1:47" ht="14.2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</row>
    <row r="814" spans="1:47" ht="14.2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</row>
    <row r="815" spans="1:47" ht="14.2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</row>
    <row r="816" spans="1:47" ht="14.2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</row>
    <row r="817" spans="1:47" ht="14.2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</row>
    <row r="818" spans="1:47" ht="14.2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</row>
    <row r="819" spans="1:47" ht="14.2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</row>
    <row r="820" spans="1:47" ht="14.2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</row>
    <row r="821" spans="1:47" ht="14.2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</row>
    <row r="822" spans="1:47" ht="14.2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</row>
    <row r="823" spans="1:47" ht="14.2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</row>
    <row r="824" spans="1:47" ht="14.2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</row>
    <row r="825" spans="1:47" ht="14.2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</row>
    <row r="826" spans="1:47" ht="14.2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</row>
    <row r="827" spans="1:47" ht="14.2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</row>
    <row r="828" spans="1:47" ht="14.2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</row>
    <row r="829" spans="1:47" ht="14.2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</row>
    <row r="830" spans="1:47" ht="14.2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</row>
    <row r="831" spans="1:47" ht="14.2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</row>
    <row r="832" spans="1:47" ht="14.2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</row>
    <row r="833" spans="1:47" ht="14.2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</row>
    <row r="834" spans="1:47" ht="14.2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109"/>
      <c r="AS834" s="109"/>
      <c r="AT834" s="109"/>
      <c r="AU834" s="109"/>
    </row>
    <row r="835" spans="1:47" ht="14.2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</row>
    <row r="836" spans="1:47" ht="14.2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109"/>
      <c r="AS836" s="109"/>
      <c r="AT836" s="109"/>
      <c r="AU836" s="109"/>
    </row>
    <row r="837" spans="1:47" ht="14.2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109"/>
      <c r="AS837" s="109"/>
      <c r="AT837" s="109"/>
      <c r="AU837" s="109"/>
    </row>
    <row r="838" spans="1:47" ht="14.2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</row>
    <row r="839" spans="1:47" ht="14.2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109"/>
      <c r="AS839" s="109"/>
      <c r="AT839" s="109"/>
      <c r="AU839" s="109"/>
    </row>
    <row r="840" spans="1:47" ht="14.2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109"/>
      <c r="AS840" s="109"/>
      <c r="AT840" s="109"/>
      <c r="AU840" s="109"/>
    </row>
    <row r="841" spans="1:47" ht="14.2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109"/>
      <c r="AS841" s="109"/>
      <c r="AT841" s="109"/>
      <c r="AU841" s="109"/>
    </row>
    <row r="842" spans="1:47" ht="14.2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</row>
    <row r="843" spans="1:47" ht="14.2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109"/>
      <c r="AS843" s="109"/>
      <c r="AT843" s="109"/>
      <c r="AU843" s="109"/>
    </row>
    <row r="844" spans="1:47" ht="14.2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</row>
    <row r="845" spans="1:47" ht="14.2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</row>
    <row r="846" spans="1:47" ht="14.2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109"/>
      <c r="AS846" s="109"/>
      <c r="AT846" s="109"/>
      <c r="AU846" s="109"/>
    </row>
    <row r="847" spans="1:47" ht="14.2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</row>
    <row r="848" spans="1:47" ht="14.2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</row>
    <row r="849" spans="1:47" ht="14.2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109"/>
      <c r="AS849" s="109"/>
      <c r="AT849" s="109"/>
      <c r="AU849" s="109"/>
    </row>
    <row r="850" spans="1:47" ht="14.2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109"/>
      <c r="AS850" s="109"/>
      <c r="AT850" s="109"/>
      <c r="AU850" s="109"/>
    </row>
    <row r="851" spans="1:47" ht="14.2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109"/>
      <c r="AS851" s="109"/>
      <c r="AT851" s="109"/>
      <c r="AU851" s="109"/>
    </row>
    <row r="852" spans="1:47" ht="14.2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109"/>
      <c r="AS852" s="109"/>
      <c r="AT852" s="109"/>
      <c r="AU852" s="109"/>
    </row>
    <row r="853" spans="1:47" ht="14.2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109"/>
      <c r="AS853" s="109"/>
      <c r="AT853" s="109"/>
      <c r="AU853" s="109"/>
    </row>
    <row r="854" spans="1:47" ht="14.2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109"/>
      <c r="AS854" s="109"/>
      <c r="AT854" s="109"/>
      <c r="AU854" s="109"/>
    </row>
    <row r="855" spans="1:47" ht="14.2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109"/>
      <c r="AS855" s="109"/>
      <c r="AT855" s="109"/>
      <c r="AU855" s="109"/>
    </row>
    <row r="856" spans="1:47" ht="14.2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109"/>
      <c r="AS856" s="109"/>
      <c r="AT856" s="109"/>
      <c r="AU856" s="109"/>
    </row>
    <row r="857" spans="1:47" ht="14.2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109"/>
      <c r="AS857" s="109"/>
      <c r="AT857" s="109"/>
      <c r="AU857" s="109"/>
    </row>
    <row r="858" spans="1:47" ht="14.2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109"/>
      <c r="AS858" s="109"/>
      <c r="AT858" s="109"/>
      <c r="AU858" s="109"/>
    </row>
    <row r="859" spans="1:47" ht="14.2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109"/>
      <c r="AS859" s="109"/>
      <c r="AT859" s="109"/>
      <c r="AU859" s="109"/>
    </row>
    <row r="860" spans="1:47" ht="14.2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</row>
    <row r="861" spans="1:47" ht="14.2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</row>
    <row r="862" spans="1:47" ht="14.2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109"/>
      <c r="AS862" s="109"/>
      <c r="AT862" s="109"/>
      <c r="AU862" s="109"/>
    </row>
    <row r="863" spans="1:47" ht="14.2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</row>
    <row r="864" spans="1:47" ht="14.2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</row>
    <row r="865" spans="1:47" ht="14.2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109"/>
      <c r="AS865" s="109"/>
      <c r="AT865" s="109"/>
      <c r="AU865" s="109"/>
    </row>
    <row r="866" spans="1:47" ht="14.2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</row>
    <row r="867" spans="1:47" ht="14.2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109"/>
      <c r="AS867" s="109"/>
      <c r="AT867" s="109"/>
      <c r="AU867" s="109"/>
    </row>
    <row r="868" spans="1:47" ht="14.2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109"/>
      <c r="AS868" s="109"/>
      <c r="AT868" s="109"/>
      <c r="AU868" s="109"/>
    </row>
    <row r="869" spans="1:47" ht="14.2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109"/>
      <c r="AS869" s="109"/>
      <c r="AT869" s="109"/>
      <c r="AU869" s="109"/>
    </row>
    <row r="870" spans="1:47" ht="14.2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109"/>
      <c r="AS870" s="109"/>
      <c r="AT870" s="109"/>
      <c r="AU870" s="109"/>
    </row>
    <row r="871" spans="1:47" ht="14.2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</row>
    <row r="872" spans="1:47" ht="14.2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</row>
    <row r="873" spans="1:47" ht="14.2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</row>
    <row r="874" spans="1:47" ht="14.2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</row>
    <row r="875" spans="1:47" ht="14.2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</row>
    <row r="876" spans="1:47" ht="14.2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</row>
    <row r="877" spans="1:47" ht="14.2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</row>
    <row r="878" spans="1:47" ht="14.2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</row>
    <row r="879" spans="1:47" ht="14.2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</row>
    <row r="880" spans="1:47" ht="14.2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</row>
    <row r="881" spans="1:47" ht="14.2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</row>
    <row r="882" spans="1:47" ht="14.2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</row>
    <row r="883" spans="1:47" ht="14.2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</row>
    <row r="884" spans="1:47" ht="14.2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</row>
    <row r="885" spans="1:47" ht="14.2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</row>
    <row r="886" spans="1:47" ht="14.2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</row>
    <row r="887" spans="1:47" ht="14.2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</row>
    <row r="888" spans="1:47" ht="14.2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</row>
    <row r="889" spans="1:47" ht="14.2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</row>
    <row r="890" spans="1:47" ht="14.2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</row>
    <row r="891" spans="1:47" ht="14.2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</row>
    <row r="892" spans="1:47" ht="14.2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</row>
    <row r="893" spans="1:47" ht="14.2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</row>
    <row r="894" spans="1:47" ht="14.2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</row>
    <row r="895" spans="1:47" ht="14.2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</row>
    <row r="896" spans="1:47" ht="14.2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</row>
    <row r="897" spans="1:47" ht="14.2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</row>
    <row r="898" spans="1:47" ht="14.2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</row>
    <row r="899" spans="1:47" ht="14.2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</row>
    <row r="900" spans="1:47" ht="14.2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</row>
    <row r="901" spans="1:47" ht="14.2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</row>
    <row r="902" spans="1:47" ht="14.2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</row>
    <row r="903" spans="1:47" ht="14.2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</row>
    <row r="904" spans="1:47" ht="14.2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</row>
    <row r="905" spans="1:47" ht="14.2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</row>
    <row r="906" spans="1:47" ht="14.2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</row>
    <row r="907" spans="1:47" ht="14.2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</row>
    <row r="908" spans="1:47" ht="14.2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</row>
    <row r="909" spans="1:47" ht="14.2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</row>
    <row r="910" spans="1:47" ht="14.2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</row>
    <row r="911" spans="1:47" ht="14.2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</row>
    <row r="912" spans="1:47" ht="14.2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</row>
    <row r="913" spans="1:47" ht="14.2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</row>
    <row r="914" spans="1:47" ht="14.2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</row>
    <row r="915" spans="1:47" ht="14.2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</row>
    <row r="916" spans="1:47" ht="14.2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</row>
    <row r="917" spans="1:47" ht="14.2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</row>
    <row r="918" spans="1:47" ht="14.2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109"/>
      <c r="AS918" s="109"/>
      <c r="AT918" s="109"/>
      <c r="AU918" s="109"/>
    </row>
    <row r="919" spans="1:47" ht="14.2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</row>
    <row r="920" spans="1:47" ht="14.2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</row>
    <row r="921" spans="1:47" ht="14.2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</row>
    <row r="922" spans="1:47" ht="14.2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</row>
    <row r="923" spans="1:47" ht="14.2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</row>
    <row r="924" spans="1:47" ht="14.2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</row>
    <row r="925" spans="1:47" ht="14.2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</row>
    <row r="926" spans="1:47" ht="14.2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</row>
    <row r="927" spans="1:47" ht="14.2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</row>
    <row r="928" spans="1:47" ht="14.2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</row>
    <row r="929" spans="1:47" ht="14.2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</row>
    <row r="930" spans="1:47" ht="14.2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</row>
    <row r="931" spans="1:47" ht="14.2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</row>
    <row r="932" spans="1:47" ht="14.2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</row>
    <row r="933" spans="1:47" ht="14.2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</row>
    <row r="934" spans="1:47" ht="14.2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</row>
    <row r="935" spans="1:47" ht="14.2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</row>
    <row r="936" spans="1:47" ht="14.2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</row>
    <row r="937" spans="1:47" ht="14.2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</row>
    <row r="938" spans="1:47" ht="14.2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</row>
    <row r="939" spans="1:47" ht="14.2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109"/>
      <c r="AS939" s="109"/>
      <c r="AT939" s="109"/>
      <c r="AU939" s="109"/>
    </row>
    <row r="940" spans="1:47" ht="14.2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</row>
    <row r="941" spans="1:47" ht="14.2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</row>
    <row r="942" spans="1:47" ht="14.2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109"/>
      <c r="AS942" s="109"/>
      <c r="AT942" s="109"/>
      <c r="AU942" s="109"/>
    </row>
    <row r="943" spans="1:47" ht="14.2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</row>
    <row r="944" spans="1:47" ht="14.2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</row>
    <row r="945" spans="1:47" ht="14.2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</row>
    <row r="946" spans="1:47" ht="14.2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</row>
    <row r="947" spans="1:47" ht="14.2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</row>
    <row r="948" spans="1:47" ht="14.2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109"/>
      <c r="AS948" s="109"/>
      <c r="AT948" s="109"/>
      <c r="AU948" s="109"/>
    </row>
    <row r="949" spans="1:47" ht="14.2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</row>
    <row r="950" spans="1:47" ht="14.2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</row>
    <row r="951" spans="1:47" ht="14.2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109"/>
      <c r="AS951" s="109"/>
      <c r="AT951" s="109"/>
      <c r="AU951" s="109"/>
    </row>
    <row r="952" spans="1:47" ht="14.2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</row>
    <row r="953" spans="1:47" ht="14.2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</row>
    <row r="954" spans="1:47" ht="14.2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</row>
    <row r="955" spans="1:47" ht="14.2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</row>
    <row r="956" spans="1:47" ht="14.2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</row>
    <row r="957" spans="1:47" ht="14.2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</row>
    <row r="958" spans="1:47" ht="14.2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</row>
    <row r="959" spans="1:47" ht="14.2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</row>
    <row r="960" spans="1:47" ht="14.2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</row>
    <row r="961" spans="1:47" ht="14.2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</row>
    <row r="962" spans="1:47" ht="14.2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</row>
    <row r="963" spans="1:47" ht="14.2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</row>
    <row r="964" spans="1:47" ht="14.2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</row>
    <row r="965" spans="1:47" ht="14.2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</row>
    <row r="966" spans="1:47" ht="14.2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</row>
    <row r="967" spans="1:47" ht="14.2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</row>
    <row r="968" spans="1:47" ht="14.2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</row>
    <row r="969" spans="1:47" ht="14.2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109"/>
      <c r="AS969" s="109"/>
      <c r="AT969" s="109"/>
      <c r="AU969" s="109"/>
    </row>
    <row r="970" spans="1:47" ht="14.2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</row>
    <row r="971" spans="1:47" ht="14.2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</row>
    <row r="972" spans="1:47" ht="14.2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</row>
    <row r="973" spans="1:47" ht="14.2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</row>
    <row r="974" spans="1:47" ht="14.2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</row>
    <row r="975" spans="1:47" ht="14.2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109"/>
      <c r="AS975" s="109"/>
      <c r="AT975" s="109"/>
      <c r="AU975" s="109"/>
    </row>
    <row r="976" spans="1:47" ht="14.2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</row>
    <row r="977" spans="1:47" ht="14.2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</row>
    <row r="978" spans="1:47" ht="14.2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</row>
    <row r="979" spans="1:47" ht="14.2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</row>
    <row r="980" spans="1:47" ht="14.2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</row>
    <row r="981" spans="1:47" ht="14.2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</row>
    <row r="982" spans="1:47" ht="14.2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</row>
    <row r="983" spans="1:47" ht="14.2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</row>
    <row r="984" spans="1:47" ht="14.2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</row>
    <row r="985" spans="1:47" ht="14.2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</row>
    <row r="986" spans="1:47" ht="14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</row>
    <row r="987" spans="1:47" ht="14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</row>
    <row r="988" spans="1:47" ht="14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</row>
    <row r="989" spans="1:47" ht="14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</row>
    <row r="990" spans="1:47" ht="14" x14ac:dyDescent="0.3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</row>
  </sheetData>
  <mergeCells count="49">
    <mergeCell ref="X2:X3"/>
    <mergeCell ref="Z2:Z3"/>
    <mergeCell ref="AA2:AA3"/>
    <mergeCell ref="AC2:AC3"/>
    <mergeCell ref="AD2:AD3"/>
    <mergeCell ref="AB2:AB3"/>
    <mergeCell ref="AQ2:AQ3"/>
    <mergeCell ref="AR2:AR3"/>
    <mergeCell ref="AE2:AE3"/>
    <mergeCell ref="AF2:AF3"/>
    <mergeCell ref="Y2:Y3"/>
    <mergeCell ref="F2:F3"/>
    <mergeCell ref="A1:A3"/>
    <mergeCell ref="B1:B3"/>
    <mergeCell ref="E2:E3"/>
    <mergeCell ref="C2:C3"/>
    <mergeCell ref="D2:D3"/>
    <mergeCell ref="C1:S1"/>
    <mergeCell ref="G2:G3"/>
    <mergeCell ref="H2:H3"/>
    <mergeCell ref="R2:S2"/>
    <mergeCell ref="I2:I3"/>
    <mergeCell ref="J2:J3"/>
    <mergeCell ref="K2:K3"/>
    <mergeCell ref="T2:T3"/>
    <mergeCell ref="N2:N3"/>
    <mergeCell ref="M2:M3"/>
    <mergeCell ref="L2:L3"/>
    <mergeCell ref="W2:W3"/>
    <mergeCell ref="U2:U3"/>
    <mergeCell ref="Q2:Q3"/>
    <mergeCell ref="O2:O3"/>
    <mergeCell ref="P2:P3"/>
    <mergeCell ref="G30:I30"/>
    <mergeCell ref="AU1:AU3"/>
    <mergeCell ref="AT2:AT3"/>
    <mergeCell ref="AS2:AS3"/>
    <mergeCell ref="AG2:AG3"/>
    <mergeCell ref="AH2:AH3"/>
    <mergeCell ref="AI2:AI3"/>
    <mergeCell ref="V1:AR1"/>
    <mergeCell ref="AJ2:AJ3"/>
    <mergeCell ref="AK2:AK3"/>
    <mergeCell ref="AL2:AL3"/>
    <mergeCell ref="AN2:AN3"/>
    <mergeCell ref="AO2:AO3"/>
    <mergeCell ref="AP2:AP3"/>
    <mergeCell ref="AM2:AM3"/>
    <mergeCell ref="V2:V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34"/>
  <sheetViews>
    <sheetView zoomScale="85" zoomScaleNormal="85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12.58203125" defaultRowHeight="15" customHeight="1" x14ac:dyDescent="0.3"/>
  <cols>
    <col min="1" max="1" width="3.83203125" customWidth="1"/>
    <col min="2" max="2" width="26.33203125" customWidth="1"/>
    <col min="12" max="12" width="64.58203125" customWidth="1"/>
  </cols>
  <sheetData>
    <row r="1" spans="1:12" ht="15" customHeight="1" x14ac:dyDescent="0.3">
      <c r="A1" s="403" t="s">
        <v>0</v>
      </c>
      <c r="B1" s="149" t="s">
        <v>129</v>
      </c>
      <c r="C1" s="149"/>
      <c r="D1" s="149"/>
      <c r="E1" s="404" t="s">
        <v>132</v>
      </c>
      <c r="F1" s="371"/>
      <c r="G1" s="371"/>
      <c r="H1" s="371"/>
      <c r="I1" s="371"/>
      <c r="J1" s="371"/>
      <c r="K1" s="372"/>
      <c r="L1" s="405" t="s">
        <v>133</v>
      </c>
    </row>
    <row r="2" spans="1:12" ht="15" customHeight="1" x14ac:dyDescent="0.3">
      <c r="A2" s="367"/>
      <c r="B2" s="149" t="s">
        <v>134</v>
      </c>
      <c r="C2" s="150" t="s">
        <v>135</v>
      </c>
      <c r="D2" s="150" t="s">
        <v>136</v>
      </c>
      <c r="E2" s="150" t="s">
        <v>137</v>
      </c>
      <c r="F2" s="151" t="s">
        <v>138</v>
      </c>
      <c r="G2" s="150" t="s">
        <v>139</v>
      </c>
      <c r="H2" s="150" t="s">
        <v>140</v>
      </c>
      <c r="I2" s="150" t="s">
        <v>141</v>
      </c>
      <c r="J2" s="150" t="s">
        <v>142</v>
      </c>
      <c r="K2" s="150" t="s">
        <v>143</v>
      </c>
      <c r="L2" s="354"/>
    </row>
    <row r="3" spans="1:12" ht="14.5" x14ac:dyDescent="0.35">
      <c r="A3" s="152">
        <v>1</v>
      </c>
      <c r="B3" s="153" t="s">
        <v>20</v>
      </c>
      <c r="C3" s="154">
        <f t="shared" ref="C3:C4" si="0">1.77*10^-7</f>
        <v>1.7699999999999998E-7</v>
      </c>
      <c r="D3" s="155">
        <v>0.76900000000000002</v>
      </c>
      <c r="E3" s="156">
        <v>5.1299999999999998E-2</v>
      </c>
      <c r="F3" s="157">
        <f t="shared" ref="F3:F4" si="1">9.04*10^-9</f>
        <v>9.0400000000000002E-9</v>
      </c>
      <c r="G3" s="156">
        <v>2.0899999999999998E-2</v>
      </c>
      <c r="H3" s="158">
        <v>2.22E-4</v>
      </c>
      <c r="I3" s="157">
        <f t="shared" ref="I3:I4" si="2">5.37*10^-5</f>
        <v>5.3700000000000004E-5</v>
      </c>
      <c r="J3" s="157">
        <f t="shared" ref="J3:J4" si="3">7.05*10^-6</f>
        <v>7.0499999999999994E-6</v>
      </c>
      <c r="K3" s="156"/>
      <c r="L3" s="153" t="s">
        <v>144</v>
      </c>
    </row>
    <row r="4" spans="1:12" ht="14.5" x14ac:dyDescent="0.35">
      <c r="A4" s="156">
        <v>2</v>
      </c>
      <c r="B4" s="153" t="s">
        <v>34</v>
      </c>
      <c r="C4" s="154">
        <f t="shared" si="0"/>
        <v>1.7699999999999998E-7</v>
      </c>
      <c r="D4" s="155">
        <v>0.76900000000000002</v>
      </c>
      <c r="E4" s="156">
        <v>5.1299999999999998E-2</v>
      </c>
      <c r="F4" s="157">
        <f t="shared" si="1"/>
        <v>9.0400000000000002E-9</v>
      </c>
      <c r="G4" s="156">
        <v>2.0899999999999998E-2</v>
      </c>
      <c r="H4" s="158">
        <v>2.22E-4</v>
      </c>
      <c r="I4" s="157">
        <f t="shared" si="2"/>
        <v>5.3700000000000004E-5</v>
      </c>
      <c r="J4" s="157">
        <f t="shared" si="3"/>
        <v>7.0499999999999994E-6</v>
      </c>
      <c r="K4" s="156"/>
      <c r="L4" s="153" t="s">
        <v>144</v>
      </c>
    </row>
    <row r="5" spans="1:12" ht="14.5" x14ac:dyDescent="0.35">
      <c r="A5" s="156">
        <v>3</v>
      </c>
      <c r="B5" s="153" t="s">
        <v>145</v>
      </c>
      <c r="C5" s="159">
        <v>0</v>
      </c>
      <c r="D5" s="159">
        <v>0</v>
      </c>
      <c r="E5" s="160">
        <v>0</v>
      </c>
      <c r="F5" s="160">
        <v>0</v>
      </c>
      <c r="G5" s="160">
        <v>0</v>
      </c>
      <c r="H5" s="160">
        <v>0</v>
      </c>
      <c r="I5" s="160">
        <v>0</v>
      </c>
      <c r="J5" s="160">
        <v>0</v>
      </c>
      <c r="K5" s="161"/>
      <c r="L5" s="153" t="s">
        <v>146</v>
      </c>
    </row>
    <row r="6" spans="1:12" ht="15" customHeight="1" x14ac:dyDescent="0.3">
      <c r="A6" s="156">
        <v>4</v>
      </c>
      <c r="B6" s="153" t="s">
        <v>147</v>
      </c>
      <c r="C6" s="159">
        <v>0</v>
      </c>
      <c r="D6" s="159">
        <v>31.5</v>
      </c>
      <c r="E6" s="156">
        <v>0.11700000000000001</v>
      </c>
      <c r="F6" s="154">
        <f>1.75*10^-11</f>
        <v>1.7499999999999998E-11</v>
      </c>
      <c r="G6" s="156">
        <v>3.6299999999999999E-2</v>
      </c>
      <c r="H6" s="156">
        <v>4.0000000000000002E-4</v>
      </c>
      <c r="I6" s="154">
        <f>2.26*10^-5</f>
        <v>2.26E-5</v>
      </c>
      <c r="J6" s="154">
        <f>5.96*10^-5</f>
        <v>5.9600000000000005E-5</v>
      </c>
      <c r="K6" s="156"/>
      <c r="L6" s="153" t="s">
        <v>148</v>
      </c>
    </row>
    <row r="7" spans="1:12" ht="15" customHeight="1" x14ac:dyDescent="0.3">
      <c r="A7" s="156">
        <v>5</v>
      </c>
      <c r="B7" s="153" t="s">
        <v>149</v>
      </c>
      <c r="C7" s="154">
        <f>5.78*10^-7</f>
        <v>5.7800000000000001E-7</v>
      </c>
      <c r="D7" s="159">
        <v>50.2</v>
      </c>
      <c r="E7" s="158">
        <v>0.47899999999999998</v>
      </c>
      <c r="F7" s="158">
        <v>6.4499999999999997E-7</v>
      </c>
      <c r="G7" s="158">
        <v>0.19900000000000001</v>
      </c>
      <c r="H7" s="158">
        <v>5.1500000000000001E-3</v>
      </c>
      <c r="I7" s="158">
        <v>6.3500000000000004E-4</v>
      </c>
      <c r="J7" s="158">
        <v>2.05E-4</v>
      </c>
      <c r="K7" s="158"/>
      <c r="L7" s="153" t="s">
        <v>150</v>
      </c>
    </row>
    <row r="8" spans="1:12" ht="15" customHeight="1" x14ac:dyDescent="0.3">
      <c r="A8" s="156">
        <v>6</v>
      </c>
      <c r="B8" s="153" t="s">
        <v>31</v>
      </c>
      <c r="C8" s="154">
        <f>1.4*10^-5</f>
        <v>1.4E-5</v>
      </c>
      <c r="D8" s="159">
        <v>6.84</v>
      </c>
      <c r="E8" s="158">
        <v>0.85299999999999998</v>
      </c>
      <c r="F8" s="154">
        <f>2.27*10^-8</f>
        <v>2.2700000000000001E-8</v>
      </c>
      <c r="G8" s="159">
        <v>1.45</v>
      </c>
      <c r="H8" s="158">
        <v>2.2899999999999999E-3</v>
      </c>
      <c r="I8" s="158">
        <v>9.4300000000000004E-4</v>
      </c>
      <c r="J8" s="158">
        <v>1.6699999999999999E-4</v>
      </c>
      <c r="K8" s="158"/>
      <c r="L8" s="153" t="s">
        <v>151</v>
      </c>
    </row>
    <row r="9" spans="1:12" ht="15" customHeight="1" x14ac:dyDescent="0.3">
      <c r="A9" s="156">
        <v>7</v>
      </c>
      <c r="B9" s="153" t="s">
        <v>152</v>
      </c>
      <c r="C9" s="159">
        <v>0</v>
      </c>
      <c r="D9" s="159">
        <v>14.1</v>
      </c>
      <c r="E9" s="158">
        <v>1.08</v>
      </c>
      <c r="F9" s="154">
        <f>8.2*10^-12</f>
        <v>8.1999999999999998E-12</v>
      </c>
      <c r="G9" s="158">
        <v>0.20399999999999999</v>
      </c>
      <c r="H9" s="158">
        <v>9.8200000000000006E-3</v>
      </c>
      <c r="I9" s="158">
        <v>3.9990000000000002E-4</v>
      </c>
      <c r="J9" s="158">
        <v>3.57E-4</v>
      </c>
      <c r="K9" s="158"/>
      <c r="L9" s="153" t="s">
        <v>153</v>
      </c>
    </row>
    <row r="10" spans="1:12" ht="15" customHeight="1" x14ac:dyDescent="0.3">
      <c r="A10" s="156">
        <v>8</v>
      </c>
      <c r="B10" s="153" t="s">
        <v>154</v>
      </c>
      <c r="C10" s="154">
        <f>4.9*10^-9</f>
        <v>4.9000000000000009E-9</v>
      </c>
      <c r="D10" s="162">
        <v>1.1900000000000001E-2</v>
      </c>
      <c r="E10" s="158">
        <v>1.0499999999999999E-3</v>
      </c>
      <c r="F10" s="154">
        <f>3.28*10^-10</f>
        <v>3.28E-10</v>
      </c>
      <c r="G10" s="158">
        <v>6.6399999999999999E-4</v>
      </c>
      <c r="H10" s="154">
        <f>4.42*10^-6</f>
        <v>4.42E-6</v>
      </c>
      <c r="I10" s="154">
        <f>2.52*10^-6</f>
        <v>2.52E-6</v>
      </c>
      <c r="J10" s="154">
        <f>2.48*10^-7</f>
        <v>2.48E-7</v>
      </c>
      <c r="K10" s="158"/>
      <c r="L10" s="153" t="s">
        <v>155</v>
      </c>
    </row>
    <row r="11" spans="1:12" ht="15" customHeight="1" x14ac:dyDescent="0.3">
      <c r="A11" s="156">
        <v>9</v>
      </c>
      <c r="B11" s="163" t="s">
        <v>156</v>
      </c>
      <c r="C11" s="154">
        <f>2.02*10^-5</f>
        <v>2.0200000000000003E-5</v>
      </c>
      <c r="D11" s="159">
        <v>60.4</v>
      </c>
      <c r="E11" s="158">
        <v>1.36</v>
      </c>
      <c r="F11" s="154">
        <f>5.98*10^-7</f>
        <v>5.9800000000000003E-7</v>
      </c>
      <c r="G11" s="158">
        <v>1.08</v>
      </c>
      <c r="H11" s="158">
        <v>8.2500000000000004E-3</v>
      </c>
      <c r="I11" s="158">
        <v>1.9400000000000001E-3</v>
      </c>
      <c r="J11" s="158">
        <v>3.9500000000000001E-4</v>
      </c>
      <c r="K11" s="158"/>
      <c r="L11" s="153" t="s">
        <v>153</v>
      </c>
    </row>
    <row r="12" spans="1:12" ht="15" customHeight="1" x14ac:dyDescent="0.3">
      <c r="A12" s="156">
        <v>10</v>
      </c>
      <c r="B12" s="164" t="s">
        <v>157</v>
      </c>
      <c r="C12" s="154">
        <f>6.54*10^-6</f>
        <v>6.5400000000000001E-6</v>
      </c>
      <c r="D12" s="159">
        <v>5.26</v>
      </c>
      <c r="E12" s="158">
        <v>0.53900000000000003</v>
      </c>
      <c r="F12" s="154">
        <f>3.39*10^-8</f>
        <v>3.3899999999999999E-8</v>
      </c>
      <c r="G12" s="158">
        <v>0.95899999999999996</v>
      </c>
      <c r="H12" s="158">
        <v>4.2500000000000003E-3</v>
      </c>
      <c r="I12" s="158">
        <v>1.35E-2</v>
      </c>
      <c r="J12" s="158">
        <v>1.54E-4</v>
      </c>
      <c r="K12" s="158"/>
      <c r="L12" s="153" t="s">
        <v>158</v>
      </c>
    </row>
    <row r="13" spans="1:12" ht="15" customHeight="1" x14ac:dyDescent="0.3">
      <c r="A13" s="156">
        <v>11</v>
      </c>
      <c r="B13" s="163" t="s">
        <v>159</v>
      </c>
      <c r="C13" s="154">
        <f>5.57*10^-5</f>
        <v>5.5700000000000005E-5</v>
      </c>
      <c r="D13" s="159">
        <v>75.900000000000006</v>
      </c>
      <c r="E13" s="158">
        <v>8.5500000000000007</v>
      </c>
      <c r="F13" s="154">
        <f>3.93*10^-7</f>
        <v>3.9299999999999999E-7</v>
      </c>
      <c r="G13" s="158">
        <v>4.13</v>
      </c>
      <c r="H13" s="158">
        <v>7.6799999999999993E-2</v>
      </c>
      <c r="I13" s="158">
        <v>0.114</v>
      </c>
      <c r="J13" s="158">
        <v>1.2099999999999999E-3</v>
      </c>
      <c r="K13" s="158"/>
      <c r="L13" s="153" t="s">
        <v>160</v>
      </c>
    </row>
    <row r="14" spans="1:12" ht="15" customHeight="1" x14ac:dyDescent="0.3">
      <c r="A14" s="156">
        <v>12</v>
      </c>
      <c r="B14" s="164" t="s">
        <v>161</v>
      </c>
      <c r="C14" s="154">
        <f>1.89*10^-8</f>
        <v>1.89E-8</v>
      </c>
      <c r="D14" s="159">
        <v>8.7800000000000003E-2</v>
      </c>
      <c r="E14" s="158">
        <v>0.92300000000000004</v>
      </c>
      <c r="F14" s="154">
        <f>9.19*10^-10</f>
        <v>9.1900000000000003E-10</v>
      </c>
      <c r="G14" s="158">
        <v>0.97299999999999998</v>
      </c>
      <c r="H14" s="158">
        <v>4.8299999999999998E-4</v>
      </c>
      <c r="I14" s="158">
        <v>6.0299999999999998E-3</v>
      </c>
      <c r="J14" s="158">
        <v>5.1199999999999998E-4</v>
      </c>
      <c r="K14" s="158"/>
      <c r="L14" s="153" t="s">
        <v>162</v>
      </c>
    </row>
    <row r="15" spans="1:12" ht="15" customHeight="1" x14ac:dyDescent="0.3">
      <c r="A15" s="156">
        <v>13</v>
      </c>
      <c r="B15" s="164" t="s">
        <v>163</v>
      </c>
      <c r="C15" s="154">
        <f>2.92*10^-8</f>
        <v>2.92E-8</v>
      </c>
      <c r="D15" s="159">
        <v>0.44600000000000001</v>
      </c>
      <c r="E15" s="158">
        <v>3.2599999999999997E-2</v>
      </c>
      <c r="F15" s="154">
        <f>5.67*10^-9</f>
        <v>5.6700000000000005E-9</v>
      </c>
      <c r="G15" s="158">
        <v>6.1999999999999998E-3</v>
      </c>
      <c r="H15" s="158">
        <v>1.5200000000000001E-4</v>
      </c>
      <c r="I15" s="154">
        <f>3.26*10^-5</f>
        <v>3.26E-5</v>
      </c>
      <c r="J15" s="154">
        <f>4.96*10^-6</f>
        <v>4.9599999999999999E-6</v>
      </c>
      <c r="K15" s="158"/>
      <c r="L15" s="153" t="s">
        <v>164</v>
      </c>
    </row>
    <row r="16" spans="1:12" ht="15" customHeight="1" x14ac:dyDescent="0.3">
      <c r="A16" s="156">
        <v>14</v>
      </c>
      <c r="B16" s="164" t="s">
        <v>165</v>
      </c>
      <c r="C16" s="154">
        <f>4.07*10^-7</f>
        <v>4.0700000000000003E-7</v>
      </c>
      <c r="D16" s="159">
        <v>0.61499999999999999</v>
      </c>
      <c r="E16" s="158">
        <v>7.7899999999999997E-2</v>
      </c>
      <c r="F16" s="154">
        <f>6.41*10^-9</f>
        <v>6.4100000000000008E-9</v>
      </c>
      <c r="G16" s="158">
        <v>5.0500000000000003E-2</v>
      </c>
      <c r="H16" s="158">
        <v>2.3599999999999999E-4</v>
      </c>
      <c r="I16" s="158">
        <v>2.6499999999999999E-4</v>
      </c>
      <c r="J16" s="158">
        <v>2.2100000000000001E-4</v>
      </c>
      <c r="K16" s="158"/>
      <c r="L16" s="153" t="s">
        <v>166</v>
      </c>
    </row>
    <row r="17" spans="1:12" ht="15" customHeight="1" x14ac:dyDescent="0.3">
      <c r="A17" s="156">
        <v>15</v>
      </c>
      <c r="B17" s="164" t="s">
        <v>167</v>
      </c>
      <c r="C17" s="154">
        <f>1.78*10^-7</f>
        <v>1.7800000000000001E-7</v>
      </c>
      <c r="D17" s="159">
        <v>0.9</v>
      </c>
      <c r="E17" s="158">
        <v>6.5600000000000006E-2</v>
      </c>
      <c r="F17" s="154">
        <f>8.01*10^-9</f>
        <v>8.0100000000000003E-9</v>
      </c>
      <c r="G17" s="158">
        <v>5.0200000000000002E-2</v>
      </c>
      <c r="H17" s="158">
        <v>3.4499999999999998E-4</v>
      </c>
      <c r="I17" s="158">
        <v>1.07E-4</v>
      </c>
      <c r="J17" s="154">
        <f>1.29*10^-5</f>
        <v>1.2900000000000002E-5</v>
      </c>
      <c r="K17" s="158"/>
      <c r="L17" s="153" t="s">
        <v>168</v>
      </c>
    </row>
    <row r="18" spans="1:12" ht="14.5" x14ac:dyDescent="0.35">
      <c r="A18" s="156">
        <v>16</v>
      </c>
      <c r="B18" s="153" t="s">
        <v>63</v>
      </c>
      <c r="C18" s="157">
        <f>0.00817</f>
        <v>8.1700000000000002E-3</v>
      </c>
      <c r="D18" s="165">
        <f>1.07*10^-4</f>
        <v>1.0700000000000001E-4</v>
      </c>
      <c r="E18" s="156">
        <v>999</v>
      </c>
      <c r="F18" s="166">
        <f>5.84*10^-5</f>
        <v>5.8400000000000003E-5</v>
      </c>
      <c r="G18" s="166">
        <f>1.31*10^-3</f>
        <v>1.3100000000000002E-3</v>
      </c>
      <c r="H18" s="156">
        <v>3.65</v>
      </c>
      <c r="I18" s="156">
        <v>2.0699999999999998</v>
      </c>
      <c r="J18" s="156">
        <v>0.33200000000000002</v>
      </c>
      <c r="K18" s="161"/>
      <c r="L18" s="153" t="s">
        <v>169</v>
      </c>
    </row>
    <row r="19" spans="1:12" ht="14.5" x14ac:dyDescent="0.35">
      <c r="A19" s="156">
        <v>17</v>
      </c>
      <c r="B19" s="153" t="s">
        <v>170</v>
      </c>
      <c r="C19" s="157">
        <f>1.11*10^-8</f>
        <v>1.1100000000000002E-8</v>
      </c>
      <c r="D19" s="159">
        <v>4.5199999999999997E-2</v>
      </c>
      <c r="E19" s="156">
        <v>3.1099999999999999E-3</v>
      </c>
      <c r="F19" s="157">
        <f>5.16*10^-10</f>
        <v>5.1600000000000008E-10</v>
      </c>
      <c r="G19" s="158">
        <v>1.2800000000000001E-3</v>
      </c>
      <c r="H19" s="157">
        <f>1.51*10^-5</f>
        <v>1.5100000000000001E-5</v>
      </c>
      <c r="I19" s="157">
        <f>3.75*10^-6</f>
        <v>3.7499999999999997E-6</v>
      </c>
      <c r="J19" s="157">
        <f>4.75*10^-7</f>
        <v>4.75E-7</v>
      </c>
      <c r="K19" s="161"/>
      <c r="L19" s="153" t="s">
        <v>171</v>
      </c>
    </row>
    <row r="20" spans="1:12" ht="14.5" x14ac:dyDescent="0.35">
      <c r="A20" s="156">
        <v>18</v>
      </c>
      <c r="B20" s="167" t="s">
        <v>172</v>
      </c>
      <c r="C20" s="168">
        <f>5.64*10^-8</f>
        <v>5.6399999999999995E-8</v>
      </c>
      <c r="D20" s="169">
        <v>0.32900000000000001</v>
      </c>
      <c r="E20" s="170">
        <v>4.82E-2</v>
      </c>
      <c r="F20" s="168">
        <f>2.25*10^-9</f>
        <v>2.2500000000000003E-9</v>
      </c>
      <c r="G20" s="171">
        <v>1.54E-2</v>
      </c>
      <c r="H20" s="171">
        <v>2.5900000000000001E-4</v>
      </c>
      <c r="I20" s="171">
        <v>4.2200000000000001E-4</v>
      </c>
      <c r="J20" s="168">
        <f>8.73*10^-6</f>
        <v>8.7299999999999994E-6</v>
      </c>
      <c r="K20" s="172"/>
      <c r="L20" s="167" t="s">
        <v>173</v>
      </c>
    </row>
    <row r="21" spans="1:12" ht="15" customHeight="1" x14ac:dyDescent="0.3">
      <c r="A21" s="170">
        <v>19</v>
      </c>
      <c r="B21" s="173" t="s">
        <v>24</v>
      </c>
      <c r="C21" s="174">
        <f>8.49*10^-6</f>
        <v>8.49E-6</v>
      </c>
      <c r="D21" s="169">
        <v>1.92</v>
      </c>
      <c r="E21" s="169">
        <v>0.82899999999999996</v>
      </c>
      <c r="F21" s="174">
        <f>1.55*10^-8</f>
        <v>1.55E-8</v>
      </c>
      <c r="G21" s="175">
        <v>0.80900000000000005</v>
      </c>
      <c r="H21" s="171">
        <v>3.6900000000000002E-2</v>
      </c>
      <c r="I21" s="171">
        <v>2.7099999999999997E-4</v>
      </c>
      <c r="J21" s="171">
        <v>1.48E-3</v>
      </c>
      <c r="K21" s="171"/>
      <c r="L21" s="167" t="s">
        <v>174</v>
      </c>
    </row>
    <row r="22" spans="1:12" ht="15" customHeight="1" x14ac:dyDescent="0.3">
      <c r="A22" s="170">
        <v>20</v>
      </c>
      <c r="B22" s="173" t="s">
        <v>29</v>
      </c>
      <c r="C22" s="174">
        <f>5.97*10^-6</f>
        <v>5.9699999999999996E-6</v>
      </c>
      <c r="D22" s="169">
        <v>13.6</v>
      </c>
      <c r="E22" s="169">
        <v>1.22</v>
      </c>
      <c r="F22" s="174">
        <f>5.14*10^-8</f>
        <v>5.1399999999999997E-8</v>
      </c>
      <c r="G22" s="175">
        <v>0.49099999999999999</v>
      </c>
      <c r="H22" s="171">
        <v>8.77E-3</v>
      </c>
      <c r="I22" s="171">
        <v>2.2200000000000002E-3</v>
      </c>
      <c r="J22" s="171">
        <v>2.6800000000000001E-4</v>
      </c>
      <c r="K22" s="171"/>
      <c r="L22" s="167" t="s">
        <v>175</v>
      </c>
    </row>
    <row r="23" spans="1:12" ht="15" customHeight="1" x14ac:dyDescent="0.3">
      <c r="A23" s="170">
        <v>21</v>
      </c>
      <c r="B23" s="167" t="s">
        <v>31</v>
      </c>
      <c r="C23" s="174">
        <f>1.4*10^-5</f>
        <v>1.4E-5</v>
      </c>
      <c r="D23" s="169">
        <v>6.84</v>
      </c>
      <c r="E23" s="169">
        <v>0.85299999999999998</v>
      </c>
      <c r="F23" s="174">
        <f>2.27*10^-8</f>
        <v>2.2700000000000001E-8</v>
      </c>
      <c r="G23" s="175">
        <v>1.45</v>
      </c>
      <c r="H23" s="171">
        <v>2.2899999999999999E-3</v>
      </c>
      <c r="I23" s="171">
        <v>9.4300000000000004E-4</v>
      </c>
      <c r="J23" s="171">
        <v>1.6699999999999999E-4</v>
      </c>
      <c r="K23" s="171"/>
      <c r="L23" s="167" t="s">
        <v>151</v>
      </c>
    </row>
    <row r="24" spans="1:12" ht="15" customHeight="1" x14ac:dyDescent="0.3">
      <c r="A24" s="170">
        <v>22</v>
      </c>
      <c r="B24" s="173" t="s">
        <v>176</v>
      </c>
      <c r="C24" s="174">
        <f>2.78*10^-8</f>
        <v>2.7799999999999997E-8</v>
      </c>
      <c r="D24" s="169">
        <v>0.121</v>
      </c>
      <c r="E24" s="169">
        <v>0.59699999999999998</v>
      </c>
      <c r="F24" s="174">
        <f>1.39*10^-9</f>
        <v>1.39E-9</v>
      </c>
      <c r="G24" s="175">
        <v>0.88900000000000001</v>
      </c>
      <c r="H24" s="171">
        <v>5.4699999999999996E-4</v>
      </c>
      <c r="I24" s="171">
        <v>1.1900000000000001E-2</v>
      </c>
      <c r="J24" s="171">
        <v>2.5300000000000002E-4</v>
      </c>
      <c r="K24" s="171"/>
      <c r="L24" s="167" t="s">
        <v>177</v>
      </c>
    </row>
    <row r="25" spans="1:12" ht="14.5" x14ac:dyDescent="0.35">
      <c r="A25" s="176">
        <v>23</v>
      </c>
      <c r="B25" s="167" t="s">
        <v>178</v>
      </c>
      <c r="C25" s="168">
        <f>1.16*10^-7</f>
        <v>1.1599999999999999E-7</v>
      </c>
      <c r="D25" s="169">
        <v>0.48899999999999999</v>
      </c>
      <c r="E25" s="169">
        <v>3.4000000000000002E-2</v>
      </c>
      <c r="F25" s="168">
        <f>5.61*10^-9</f>
        <v>5.6100000000000003E-9</v>
      </c>
      <c r="G25" s="177">
        <f>0.0138</f>
        <v>1.38E-2</v>
      </c>
      <c r="H25" s="171">
        <v>2.0900000000000001E-4</v>
      </c>
      <c r="I25" s="174">
        <f>4.5*10^-5</f>
        <v>4.5000000000000003E-5</v>
      </c>
      <c r="J25" s="174">
        <f>6.18*10^-6</f>
        <v>6.1799999999999993E-6</v>
      </c>
      <c r="K25" s="178"/>
      <c r="L25" s="167" t="s">
        <v>179</v>
      </c>
    </row>
    <row r="26" spans="1:12" ht="14.5" x14ac:dyDescent="0.35">
      <c r="A26" s="176">
        <v>24</v>
      </c>
      <c r="B26" s="167" t="s">
        <v>180</v>
      </c>
      <c r="C26" s="171">
        <v>1.24E-7</v>
      </c>
      <c r="D26" s="169">
        <v>0.54800000000000004</v>
      </c>
      <c r="E26" s="169">
        <v>0.67900000000000005</v>
      </c>
      <c r="F26" s="171">
        <v>6.2300000000000002E-9</v>
      </c>
      <c r="G26" s="175">
        <v>1.86</v>
      </c>
      <c r="H26" s="171">
        <v>3.7300000000000001E-4</v>
      </c>
      <c r="I26" s="171">
        <v>1.24E-2</v>
      </c>
      <c r="J26" s="171">
        <v>2.5799999999999998E-4</v>
      </c>
      <c r="K26" s="179"/>
      <c r="L26" s="167" t="s">
        <v>181</v>
      </c>
    </row>
    <row r="27" spans="1:12" ht="14" x14ac:dyDescent="0.3">
      <c r="A27" s="176">
        <v>25</v>
      </c>
      <c r="B27" s="153" t="s">
        <v>182</v>
      </c>
      <c r="C27" s="154">
        <f>5.57*10^-5</f>
        <v>5.5700000000000005E-5</v>
      </c>
      <c r="D27" s="159">
        <v>75.900000000000006</v>
      </c>
      <c r="E27" s="159">
        <v>8.5500000000000007</v>
      </c>
      <c r="F27" s="154">
        <f>3.93*10^-7</f>
        <v>3.9299999999999999E-7</v>
      </c>
      <c r="G27" s="155">
        <v>4.13</v>
      </c>
      <c r="H27" s="158">
        <v>7.6799999999999993E-2</v>
      </c>
      <c r="I27" s="158">
        <v>0.114</v>
      </c>
      <c r="J27" s="158">
        <v>1.2099999999999999E-3</v>
      </c>
      <c r="K27" s="158"/>
      <c r="L27" s="153" t="s">
        <v>160</v>
      </c>
    </row>
    <row r="28" spans="1:12" ht="14.5" x14ac:dyDescent="0.35">
      <c r="A28" s="176">
        <v>26</v>
      </c>
      <c r="B28" s="167" t="s">
        <v>183</v>
      </c>
      <c r="C28" s="171">
        <v>3.3100000000000001E-6</v>
      </c>
      <c r="D28" s="169">
        <v>19</v>
      </c>
      <c r="E28" s="169">
        <v>1.76</v>
      </c>
      <c r="F28" s="171">
        <v>9.3100000000000006E-8</v>
      </c>
      <c r="G28" s="175">
        <v>1.56</v>
      </c>
      <c r="H28" s="171">
        <v>6.1500000000000001E-3</v>
      </c>
      <c r="I28" s="171">
        <v>2.82E-3</v>
      </c>
      <c r="J28" s="171">
        <v>8.6499999999999999E-4</v>
      </c>
      <c r="K28" s="179"/>
      <c r="L28" s="167" t="s">
        <v>184</v>
      </c>
    </row>
    <row r="29" spans="1:12" ht="14" x14ac:dyDescent="0.3">
      <c r="A29" s="176">
        <v>27</v>
      </c>
      <c r="B29" s="153" t="s">
        <v>185</v>
      </c>
      <c r="C29" s="154">
        <f>8.78*10^-9</f>
        <v>8.7799999999999999E-9</v>
      </c>
      <c r="D29" s="159">
        <v>1.9900000000000001E-2</v>
      </c>
      <c r="E29" s="159">
        <v>1.8400000000000001E-3</v>
      </c>
      <c r="F29" s="154">
        <f>5.67*10^-11</f>
        <v>5.6699999999999995E-11</v>
      </c>
      <c r="G29" s="155">
        <v>8.9599999999999999E-4</v>
      </c>
      <c r="H29" s="154">
        <f>7.92*10^-6</f>
        <v>7.9200000000000004E-6</v>
      </c>
      <c r="I29" s="154">
        <f>3.19*10^-6</f>
        <v>3.19E-6</v>
      </c>
      <c r="J29" s="154">
        <f>3.15*10^-7</f>
        <v>3.15E-7</v>
      </c>
      <c r="K29" s="158"/>
      <c r="L29" s="153" t="s">
        <v>186</v>
      </c>
    </row>
    <row r="30" spans="1:12" ht="14.5" x14ac:dyDescent="0.35">
      <c r="A30" s="39">
        <v>28</v>
      </c>
      <c r="B30" s="167" t="s">
        <v>187</v>
      </c>
      <c r="C30" s="174">
        <v>8.4099999999999998E-5</v>
      </c>
      <c r="D30" s="39">
        <v>108</v>
      </c>
      <c r="E30" s="39">
        <v>6.33</v>
      </c>
      <c r="F30" s="174">
        <v>8.6099999999999999E-7</v>
      </c>
      <c r="G30" s="39">
        <v>5.24</v>
      </c>
      <c r="H30" s="174">
        <v>2.8899999999999999E-2</v>
      </c>
      <c r="I30" s="174">
        <v>1.18E-2</v>
      </c>
      <c r="J30" s="174">
        <v>5.1000000000000004E-3</v>
      </c>
      <c r="K30" s="180"/>
      <c r="L30" s="167" t="s">
        <v>188</v>
      </c>
    </row>
    <row r="31" spans="1:12" ht="14.5" x14ac:dyDescent="0.35">
      <c r="A31" s="39">
        <v>29</v>
      </c>
      <c r="B31" s="167" t="s">
        <v>189</v>
      </c>
      <c r="C31" s="174">
        <v>1.5699999999999999E-7</v>
      </c>
      <c r="D31" s="39">
        <v>0.67800000000000005</v>
      </c>
      <c r="E31" s="39">
        <v>0.66600000000000004</v>
      </c>
      <c r="F31" s="174">
        <v>7.2099999999999997E-9</v>
      </c>
      <c r="G31" s="39">
        <v>1.01</v>
      </c>
      <c r="H31" s="174">
        <v>4.0600000000000002E-3</v>
      </c>
      <c r="I31" s="174">
        <v>1.8800000000000001E-2</v>
      </c>
      <c r="J31" s="174">
        <v>2.5700000000000001E-4</v>
      </c>
      <c r="K31" s="180"/>
      <c r="L31" s="167" t="s">
        <v>190</v>
      </c>
    </row>
    <row r="32" spans="1:12" ht="14.5" x14ac:dyDescent="0.35">
      <c r="A32" s="39">
        <v>30</v>
      </c>
      <c r="B32" s="167" t="s">
        <v>191</v>
      </c>
      <c r="C32" s="174">
        <v>2.9899999999999998E-5</v>
      </c>
      <c r="D32" s="39">
        <v>9.99</v>
      </c>
      <c r="E32" s="39">
        <v>0.82399999999999995</v>
      </c>
      <c r="F32" s="174">
        <v>4.6800000000000002E-8</v>
      </c>
      <c r="G32" s="39">
        <v>1.75</v>
      </c>
      <c r="H32" s="39">
        <v>8.1600000000000006E-3</v>
      </c>
      <c r="I32" s="39">
        <v>1.91E-3</v>
      </c>
      <c r="J32" s="174">
        <v>3.2200000000000002E-4</v>
      </c>
      <c r="K32" s="180"/>
      <c r="L32" s="167" t="s">
        <v>192</v>
      </c>
    </row>
    <row r="33" spans="1:12" ht="14.5" x14ac:dyDescent="0.35">
      <c r="A33" s="39">
        <v>31</v>
      </c>
      <c r="B33" s="153" t="s">
        <v>193</v>
      </c>
      <c r="C33" s="154">
        <f>2.02*10^-5</f>
        <v>2.0200000000000003E-5</v>
      </c>
      <c r="D33" s="181">
        <v>60.4</v>
      </c>
      <c r="E33" s="181">
        <v>1.36</v>
      </c>
      <c r="F33" s="154">
        <f>5.98*10^-7</f>
        <v>5.9800000000000003E-7</v>
      </c>
      <c r="G33" s="182">
        <v>1.08</v>
      </c>
      <c r="H33" s="154">
        <v>8.2500000000000004E-3</v>
      </c>
      <c r="I33" s="154">
        <v>1.9400000000000001E-3</v>
      </c>
      <c r="J33" s="154">
        <v>3.9500000000000001E-4</v>
      </c>
      <c r="K33" s="183"/>
      <c r="L33" s="153" t="s">
        <v>194</v>
      </c>
    </row>
    <row r="34" spans="1:12" ht="14" x14ac:dyDescent="0.3">
      <c r="A34" s="39">
        <v>32</v>
      </c>
      <c r="B34" s="153" t="s">
        <v>195</v>
      </c>
      <c r="C34" s="154">
        <f>1.85*10^-7</f>
        <v>1.85E-7</v>
      </c>
      <c r="D34" s="181">
        <v>0.27</v>
      </c>
      <c r="E34" s="181">
        <v>2.85</v>
      </c>
      <c r="F34" s="154">
        <f>3.3*10^-9</f>
        <v>3.3000000000000002E-9</v>
      </c>
      <c r="G34" s="182">
        <v>7.3899999999999993E-2</v>
      </c>
      <c r="H34" s="154">
        <v>1.8000000000000001E-4</v>
      </c>
      <c r="I34" s="154">
        <v>8.7600000000000004E-4</v>
      </c>
      <c r="J34" s="154">
        <f>4.68*10^-6</f>
        <v>4.6799999999999992E-6</v>
      </c>
      <c r="K34" s="154"/>
      <c r="L34" s="184" t="s">
        <v>196</v>
      </c>
    </row>
  </sheetData>
  <mergeCells count="3">
    <mergeCell ref="A1:A2"/>
    <mergeCell ref="E1:K1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5"/>
  <sheetViews>
    <sheetView workbookViewId="0">
      <selection activeCell="K10" sqref="K10"/>
    </sheetView>
  </sheetViews>
  <sheetFormatPr defaultRowHeight="14" x14ac:dyDescent="0.3"/>
  <cols>
    <col min="1" max="1" width="20.58203125" customWidth="1"/>
    <col min="2" max="2" width="9.75" customWidth="1"/>
    <col min="3" max="3" width="11.83203125" customWidth="1"/>
    <col min="4" max="4" width="10.58203125" customWidth="1"/>
    <col min="5" max="7" width="11.33203125" customWidth="1"/>
    <col min="9" max="9" width="26.08203125" customWidth="1"/>
  </cols>
  <sheetData>
    <row r="1" spans="1:9" x14ac:dyDescent="0.3">
      <c r="A1" s="235" t="s">
        <v>239</v>
      </c>
      <c r="B1" s="233" t="s">
        <v>8</v>
      </c>
      <c r="C1" s="233" t="s">
        <v>240</v>
      </c>
      <c r="D1" s="234">
        <v>-0.2</v>
      </c>
      <c r="E1" s="234">
        <v>-0.1</v>
      </c>
      <c r="F1" s="234">
        <v>0.1</v>
      </c>
      <c r="G1" s="234">
        <v>0.2</v>
      </c>
      <c r="I1" s="202"/>
    </row>
    <row r="2" spans="1:9" x14ac:dyDescent="0.3">
      <c r="A2" s="248" t="s">
        <v>256</v>
      </c>
      <c r="B2" s="200" t="str">
        <f>Inventori!Q12</f>
        <v>tonSOx</v>
      </c>
      <c r="C2" s="236">
        <f>Inventori!P18</f>
        <v>172.98288624096</v>
      </c>
      <c r="D2" s="236">
        <f>C2-(C2*20%)</f>
        <v>138.38630899276799</v>
      </c>
      <c r="E2" s="236">
        <f>C2-(C2*10%)</f>
        <v>155.68459761686401</v>
      </c>
      <c r="F2" s="236">
        <f>C2+(C2*10%)</f>
        <v>190.28117486505599</v>
      </c>
      <c r="G2" s="236">
        <f>C2+(C2*20%)</f>
        <v>207.579463489152</v>
      </c>
      <c r="I2" s="237"/>
    </row>
    <row r="3" spans="1:9" x14ac:dyDescent="0.3">
      <c r="A3" s="248" t="s">
        <v>257</v>
      </c>
      <c r="B3" s="200" t="str">
        <f>Inventori!Q13</f>
        <v>tonNOx</v>
      </c>
      <c r="C3" s="236">
        <f>Inventori!P19</f>
        <v>2630.4831007171201</v>
      </c>
      <c r="D3" s="236">
        <f t="shared" ref="D3:D4" si="0">C3-(C3*20%)</f>
        <v>2104.3864805736962</v>
      </c>
      <c r="E3" s="236">
        <f t="shared" ref="E3:E4" si="1">C3-(C3*10%)</f>
        <v>2367.4347906454082</v>
      </c>
      <c r="F3" s="236">
        <f t="shared" ref="F3:F4" si="2">C3+(C3*10%)</f>
        <v>2893.5314107888321</v>
      </c>
      <c r="G3" s="236">
        <f t="shared" ref="G3:G4" si="3">C3+(C3*20%)</f>
        <v>3156.5797208605441</v>
      </c>
      <c r="I3" s="202"/>
    </row>
    <row r="4" spans="1:9" x14ac:dyDescent="0.3">
      <c r="A4" s="248" t="s">
        <v>258</v>
      </c>
      <c r="B4" s="200" t="str">
        <f>Inventori!Q14</f>
        <v>tonCO2</v>
      </c>
      <c r="C4" s="236">
        <f>Inventori!P20</f>
        <v>102807.44201519999</v>
      </c>
      <c r="D4" s="236">
        <f t="shared" si="0"/>
        <v>82245.953612159996</v>
      </c>
      <c r="E4" s="236">
        <f t="shared" si="1"/>
        <v>92526.697813679988</v>
      </c>
      <c r="F4" s="236">
        <f t="shared" si="2"/>
        <v>113088.18621672</v>
      </c>
      <c r="G4" s="236">
        <f t="shared" si="3"/>
        <v>123368.93041823999</v>
      </c>
      <c r="I4" s="202"/>
    </row>
    <row r="5" spans="1:9" x14ac:dyDescent="0.3">
      <c r="I5" s="202"/>
    </row>
    <row r="6" spans="1:9" ht="14.5" x14ac:dyDescent="0.35">
      <c r="A6" s="238" t="s">
        <v>241</v>
      </c>
      <c r="B6" s="239" t="s">
        <v>240</v>
      </c>
      <c r="C6" s="240">
        <v>-0.2</v>
      </c>
      <c r="D6" s="240">
        <v>-0.1</v>
      </c>
      <c r="E6" s="240">
        <v>0.1</v>
      </c>
      <c r="F6" s="240">
        <v>0.2</v>
      </c>
      <c r="I6" s="237"/>
    </row>
    <row r="7" spans="1:9" ht="14.5" x14ac:dyDescent="0.35">
      <c r="A7" s="241" t="s">
        <v>197</v>
      </c>
      <c r="B7" s="242">
        <f>I10</f>
        <v>48.78951603215998</v>
      </c>
      <c r="C7" s="242">
        <v>30.431821285000449</v>
      </c>
      <c r="D7" s="242">
        <v>32.90108316796281</v>
      </c>
      <c r="E7" s="242">
        <v>37.839606933887538</v>
      </c>
      <c r="F7" s="242">
        <v>40.308868816849895</v>
      </c>
      <c r="I7" s="202"/>
    </row>
    <row r="8" spans="1:9" x14ac:dyDescent="0.3">
      <c r="A8" s="243" t="s">
        <v>242</v>
      </c>
      <c r="B8" s="243"/>
      <c r="C8" s="244">
        <f>(C7-$B$7)/$B$7*100</f>
        <v>-37.626310404593724</v>
      </c>
      <c r="D8" s="244">
        <f t="shared" ref="D8:F8" si="4">(D7-$B$7)/$B$7*100</f>
        <v>-32.565260236900464</v>
      </c>
      <c r="E8" s="244">
        <f t="shared" si="4"/>
        <v>-22.443159901513937</v>
      </c>
      <c r="F8" s="244">
        <f t="shared" si="4"/>
        <v>-17.382109733820688</v>
      </c>
      <c r="I8" s="202"/>
    </row>
    <row r="9" spans="1:9" ht="14.5" x14ac:dyDescent="0.35">
      <c r="A9" s="241" t="s">
        <v>198</v>
      </c>
      <c r="B9" s="242">
        <f>I14</f>
        <v>9.1205811129395481E-6</v>
      </c>
      <c r="C9" s="242">
        <v>7.8913987156724011E-6</v>
      </c>
      <c r="D9" s="242">
        <v>7.9584305436347701E-6</v>
      </c>
      <c r="E9" s="242">
        <v>8.0924941995595117E-6</v>
      </c>
      <c r="F9" s="242">
        <v>8.1595260275218825E-6</v>
      </c>
      <c r="I9" s="202" t="str">
        <f>GWP!B51</f>
        <v>TOTAL GWP</v>
      </c>
    </row>
    <row r="10" spans="1:9" x14ac:dyDescent="0.3">
      <c r="A10" s="243" t="s">
        <v>242</v>
      </c>
      <c r="B10" s="243"/>
      <c r="C10" s="244">
        <f>(C9-$B$9)/$B$9*100</f>
        <v>-13.477018427293869</v>
      </c>
      <c r="D10" s="244">
        <f t="shared" ref="D10:F10" si="5">(D9-$B$9)/$B$9*100</f>
        <v>-12.742067143682457</v>
      </c>
      <c r="E10" s="244">
        <f t="shared" si="5"/>
        <v>-11.2721645764596</v>
      </c>
      <c r="F10" s="244">
        <f t="shared" si="5"/>
        <v>-10.53721329284817</v>
      </c>
      <c r="I10" s="237">
        <f>GWP!B52</f>
        <v>48.78951603215998</v>
      </c>
    </row>
    <row r="11" spans="1:9" ht="14.5" x14ac:dyDescent="0.35">
      <c r="A11" s="241" t="s">
        <v>243</v>
      </c>
      <c r="B11" s="242">
        <f>I16</f>
        <v>0.24669677202840634</v>
      </c>
      <c r="C11" s="242">
        <v>0.13053621567409257</v>
      </c>
      <c r="D11" s="242">
        <v>0.13771996931430286</v>
      </c>
      <c r="E11" s="242">
        <v>0.15208747659472344</v>
      </c>
      <c r="F11" s="242">
        <v>0.15927123023493367</v>
      </c>
      <c r="I11" s="202" t="str">
        <f>GWP!B53</f>
        <v>kgCO2eq/ton</v>
      </c>
    </row>
    <row r="12" spans="1:9" x14ac:dyDescent="0.3">
      <c r="A12" s="243" t="s">
        <v>242</v>
      </c>
      <c r="B12" s="243"/>
      <c r="C12" s="244">
        <f>(C11-$B$11)/$B$11*100</f>
        <v>-47.086370607613084</v>
      </c>
      <c r="D12" s="244">
        <f t="shared" ref="D12:E12" si="6">(D11-$B$11)/$B$11*100</f>
        <v>-44.174393453982916</v>
      </c>
      <c r="E12" s="244">
        <f t="shared" si="6"/>
        <v>-38.350439146722579</v>
      </c>
      <c r="F12" s="244">
        <f>(F11-$B$11)/$B$11*100</f>
        <v>-35.438461993092432</v>
      </c>
      <c r="I12" s="202"/>
    </row>
    <row r="13" spans="1:9" ht="14.5" x14ac:dyDescent="0.35">
      <c r="A13" s="241" t="s">
        <v>244</v>
      </c>
      <c r="B13" s="242">
        <f>I20</f>
        <v>0.37510242775990826</v>
      </c>
      <c r="C13" s="242">
        <v>3.542073343325032E-2</v>
      </c>
      <c r="D13" s="242">
        <v>3.8209656189772831E-2</v>
      </c>
      <c r="E13" s="242">
        <v>4.3787501702817824E-2</v>
      </c>
      <c r="F13" s="242">
        <v>4.6576424459340321E-2</v>
      </c>
      <c r="I13" s="202" t="str">
        <f>ODP!B51</f>
        <v>TOTAL ODP</v>
      </c>
    </row>
    <row r="14" spans="1:9" x14ac:dyDescent="0.3">
      <c r="A14" s="243" t="s">
        <v>242</v>
      </c>
      <c r="B14" s="243"/>
      <c r="C14" s="244">
        <f>(C13-$B$13)/$B$13*100</f>
        <v>-90.557050338281982</v>
      </c>
      <c r="D14" s="244">
        <f t="shared" ref="D14:F14" si="7">(D13-$B$13)/$B$13*100</f>
        <v>-89.813540685951068</v>
      </c>
      <c r="E14" s="244">
        <f t="shared" si="7"/>
        <v>-88.326521381289254</v>
      </c>
      <c r="F14" s="244">
        <f t="shared" si="7"/>
        <v>-87.58301172895834</v>
      </c>
      <c r="I14" s="237">
        <f>ODP!B52</f>
        <v>9.1205811129395481E-6</v>
      </c>
    </row>
    <row r="15" spans="1:9" ht="14.5" x14ac:dyDescent="0.35">
      <c r="A15" s="241"/>
      <c r="B15" s="242"/>
      <c r="C15" s="242"/>
      <c r="D15" s="242"/>
      <c r="E15" s="242"/>
      <c r="F15" s="242"/>
      <c r="I15" s="202" t="str">
        <f>AP!B51</f>
        <v>TOTAL AP</v>
      </c>
    </row>
    <row r="16" spans="1:9" x14ac:dyDescent="0.3">
      <c r="A16" s="243"/>
      <c r="B16" s="243"/>
      <c r="C16" s="244"/>
      <c r="D16" s="244"/>
      <c r="E16" s="244"/>
      <c r="F16" s="244"/>
      <c r="I16" s="237">
        <f>AP!B52</f>
        <v>0.24669677202840634</v>
      </c>
    </row>
    <row r="17" spans="9:9" x14ac:dyDescent="0.3">
      <c r="I17" s="202" t="str">
        <f>AP!B53</f>
        <v>kgSO2eq/ton</v>
      </c>
    </row>
    <row r="18" spans="9:9" x14ac:dyDescent="0.3">
      <c r="I18" s="202"/>
    </row>
    <row r="19" spans="9:9" x14ac:dyDescent="0.3">
      <c r="I19" s="202" t="str">
        <f>EP!B51</f>
        <v>TOTAL EP</v>
      </c>
    </row>
    <row r="20" spans="9:9" x14ac:dyDescent="0.3">
      <c r="I20" s="237">
        <f>EP!B52</f>
        <v>0.37510242775990826</v>
      </c>
    </row>
    <row r="21" spans="9:9" x14ac:dyDescent="0.3">
      <c r="I21" s="202" t="str">
        <f>EP!B53</f>
        <v>kgPO4eq/ton</v>
      </c>
    </row>
    <row r="22" spans="9:9" x14ac:dyDescent="0.3">
      <c r="I22" s="202"/>
    </row>
    <row r="23" spans="9:9" x14ac:dyDescent="0.3">
      <c r="I23" s="202"/>
    </row>
    <row r="24" spans="9:9" x14ac:dyDescent="0.3">
      <c r="I24" s="237"/>
    </row>
    <row r="25" spans="9:9" x14ac:dyDescent="0.3">
      <c r="I25" s="2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18"/>
  <sheetViews>
    <sheetView zoomScale="85" zoomScaleNormal="85" workbookViewId="0">
      <selection activeCell="E11" sqref="E11"/>
    </sheetView>
  </sheetViews>
  <sheetFormatPr defaultRowHeight="14" x14ac:dyDescent="0.3"/>
  <cols>
    <col min="1" max="1" width="15.25" customWidth="1"/>
    <col min="2" max="2" width="12.58203125" customWidth="1"/>
    <col min="3" max="3" width="20.25" customWidth="1"/>
    <col min="4" max="4" width="23.33203125" customWidth="1"/>
    <col min="5" max="5" width="11.58203125" customWidth="1"/>
    <col min="6" max="6" width="8.58203125" customWidth="1"/>
    <col min="7" max="7" width="10.58203125" customWidth="1"/>
    <col min="8" max="8" width="7.58203125" customWidth="1"/>
    <col min="9" max="9" width="24.83203125" customWidth="1"/>
    <col min="10" max="10" width="13.08203125" customWidth="1"/>
    <col min="11" max="11" width="8.5" customWidth="1"/>
  </cols>
  <sheetData>
    <row r="1" spans="1:11" x14ac:dyDescent="0.3">
      <c r="A1" s="315" t="s">
        <v>227</v>
      </c>
      <c r="B1" s="318" t="s">
        <v>228</v>
      </c>
      <c r="C1" s="319"/>
      <c r="D1" s="320"/>
      <c r="E1" s="321" t="s">
        <v>229</v>
      </c>
      <c r="F1" s="322"/>
      <c r="G1" s="322"/>
      <c r="H1" s="322"/>
      <c r="I1" s="323"/>
      <c r="J1" s="324" t="s">
        <v>230</v>
      </c>
      <c r="K1" s="325"/>
    </row>
    <row r="2" spans="1:11" x14ac:dyDescent="0.3">
      <c r="A2" s="316"/>
      <c r="B2" s="326" t="s">
        <v>231</v>
      </c>
      <c r="C2" s="326" t="s">
        <v>232</v>
      </c>
      <c r="D2" s="326" t="s">
        <v>233</v>
      </c>
      <c r="E2" s="321" t="s">
        <v>234</v>
      </c>
      <c r="F2" s="323"/>
      <c r="G2" s="321" t="s">
        <v>235</v>
      </c>
      <c r="H2" s="323"/>
      <c r="I2" s="328" t="s">
        <v>236</v>
      </c>
      <c r="J2" s="313" t="s">
        <v>7</v>
      </c>
      <c r="K2" s="313" t="s">
        <v>237</v>
      </c>
    </row>
    <row r="3" spans="1:11" x14ac:dyDescent="0.3">
      <c r="A3" s="317"/>
      <c r="B3" s="327"/>
      <c r="C3" s="327"/>
      <c r="D3" s="327"/>
      <c r="E3" s="263" t="s">
        <v>7</v>
      </c>
      <c r="F3" s="263" t="s">
        <v>237</v>
      </c>
      <c r="G3" s="263" t="s">
        <v>238</v>
      </c>
      <c r="H3" s="263" t="s">
        <v>237</v>
      </c>
      <c r="I3" s="329"/>
      <c r="J3" s="314"/>
      <c r="K3" s="314"/>
    </row>
    <row r="4" spans="1:11" x14ac:dyDescent="0.3">
      <c r="A4" s="310" t="s">
        <v>271</v>
      </c>
      <c r="B4" s="311"/>
      <c r="C4" s="311"/>
      <c r="D4" s="311"/>
      <c r="E4" s="311"/>
      <c r="F4" s="311"/>
      <c r="G4" s="311"/>
      <c r="H4" s="311"/>
      <c r="I4" s="311"/>
      <c r="J4" s="311"/>
      <c r="K4" s="312"/>
    </row>
    <row r="5" spans="1:11" x14ac:dyDescent="0.3">
      <c r="A5" s="248" t="s">
        <v>6</v>
      </c>
      <c r="B5" s="203">
        <v>1</v>
      </c>
      <c r="C5" s="203">
        <v>0</v>
      </c>
      <c r="D5" s="203">
        <v>0</v>
      </c>
      <c r="E5" s="200">
        <v>1</v>
      </c>
      <c r="F5" s="203">
        <v>1</v>
      </c>
      <c r="G5" s="200">
        <v>0</v>
      </c>
      <c r="H5" s="214">
        <v>0</v>
      </c>
      <c r="I5" s="254" t="s">
        <v>259</v>
      </c>
      <c r="J5" s="199">
        <v>0</v>
      </c>
      <c r="K5" s="249">
        <v>0</v>
      </c>
    </row>
    <row r="6" spans="1:11" x14ac:dyDescent="0.3">
      <c r="A6" s="248" t="s">
        <v>250</v>
      </c>
      <c r="B6" s="203">
        <v>1</v>
      </c>
      <c r="C6" s="203">
        <v>0</v>
      </c>
      <c r="D6" s="203">
        <v>0</v>
      </c>
      <c r="E6" s="200">
        <v>3</v>
      </c>
      <c r="F6" s="203">
        <v>1</v>
      </c>
      <c r="G6" s="200">
        <v>0</v>
      </c>
      <c r="H6" s="214">
        <v>0</v>
      </c>
      <c r="I6" s="254" t="s">
        <v>259</v>
      </c>
      <c r="J6" s="199">
        <v>0</v>
      </c>
      <c r="K6" s="249">
        <v>0</v>
      </c>
    </row>
    <row r="7" spans="1:11" x14ac:dyDescent="0.3">
      <c r="A7" s="248" t="s">
        <v>253</v>
      </c>
      <c r="B7" s="203">
        <v>1</v>
      </c>
      <c r="C7" s="203">
        <v>0</v>
      </c>
      <c r="D7" s="203">
        <v>0</v>
      </c>
      <c r="E7" s="200">
        <v>1</v>
      </c>
      <c r="F7" s="203">
        <v>1</v>
      </c>
      <c r="G7" s="200">
        <v>0</v>
      </c>
      <c r="H7" s="214">
        <v>0</v>
      </c>
      <c r="I7" s="254" t="s">
        <v>259</v>
      </c>
      <c r="J7" s="199">
        <v>0</v>
      </c>
      <c r="K7" s="249">
        <v>0</v>
      </c>
    </row>
    <row r="8" spans="1:11" x14ac:dyDescent="0.3">
      <c r="A8" s="248" t="s">
        <v>251</v>
      </c>
      <c r="B8" s="203">
        <v>1</v>
      </c>
      <c r="C8" s="203">
        <v>0</v>
      </c>
      <c r="D8" s="203">
        <v>0</v>
      </c>
      <c r="E8" s="200">
        <v>0</v>
      </c>
      <c r="F8" s="203">
        <v>0</v>
      </c>
      <c r="G8" s="200">
        <v>9</v>
      </c>
      <c r="H8" s="214">
        <v>1</v>
      </c>
      <c r="I8" s="254" t="s">
        <v>259</v>
      </c>
      <c r="J8" s="199">
        <v>0</v>
      </c>
      <c r="K8" s="249">
        <v>0</v>
      </c>
    </row>
    <row r="9" spans="1:11" x14ac:dyDescent="0.3">
      <c r="A9" s="252" t="s">
        <v>255</v>
      </c>
      <c r="B9" s="253">
        <f>AVERAGE(B5:B8)</f>
        <v>1</v>
      </c>
      <c r="C9" s="253">
        <f>AVERAGE(C5:C8)</f>
        <v>0</v>
      </c>
      <c r="D9" s="253">
        <f>AVERAGE(D5:D8)</f>
        <v>0</v>
      </c>
      <c r="E9" s="200">
        <f>SUM(E5:E8)</f>
        <v>5</v>
      </c>
      <c r="F9" s="203">
        <f>5/14</f>
        <v>0.35714285714285715</v>
      </c>
      <c r="G9" s="200">
        <f>SUM(,G5:G8)</f>
        <v>9</v>
      </c>
      <c r="H9" s="214">
        <f>9/14</f>
        <v>0.6428571428571429</v>
      </c>
      <c r="I9" s="196"/>
      <c r="J9" s="199">
        <v>0</v>
      </c>
      <c r="K9" s="249">
        <v>0</v>
      </c>
    </row>
    <row r="13" spans="1:11" s="245" customFormat="1" x14ac:dyDescent="0.3">
      <c r="A13"/>
      <c r="B13"/>
      <c r="C13"/>
      <c r="D13"/>
      <c r="E13"/>
      <c r="F13"/>
      <c r="G13"/>
      <c r="H13"/>
      <c r="I13"/>
      <c r="J13"/>
      <c r="K13"/>
    </row>
    <row r="14" spans="1:11" s="245" customFormat="1" x14ac:dyDescent="0.3">
      <c r="A14"/>
      <c r="B14"/>
      <c r="C14"/>
      <c r="D14"/>
      <c r="E14"/>
      <c r="F14"/>
      <c r="G14"/>
      <c r="H14"/>
      <c r="I14"/>
      <c r="J14"/>
      <c r="K14"/>
    </row>
    <row r="15" spans="1:11" s="245" customFormat="1" x14ac:dyDescent="0.3">
      <c r="A15"/>
      <c r="B15"/>
      <c r="C15"/>
      <c r="D15"/>
      <c r="E15"/>
      <c r="F15"/>
      <c r="G15"/>
      <c r="H15"/>
      <c r="I15"/>
      <c r="J15"/>
      <c r="K15"/>
    </row>
    <row r="16" spans="1:11" s="245" customFormat="1" x14ac:dyDescent="0.3">
      <c r="A16"/>
      <c r="B16"/>
      <c r="C16"/>
      <c r="D16"/>
      <c r="E16"/>
      <c r="F16"/>
      <c r="G16"/>
      <c r="H16"/>
      <c r="I16"/>
      <c r="J16"/>
      <c r="K16"/>
    </row>
    <row r="17" spans="1:11" s="247" customFormat="1" x14ac:dyDescent="0.3">
      <c r="A17"/>
      <c r="B17"/>
      <c r="C17"/>
      <c r="D17"/>
      <c r="E17"/>
      <c r="F17"/>
      <c r="G17"/>
      <c r="H17"/>
      <c r="I17"/>
      <c r="J17"/>
      <c r="K17"/>
    </row>
    <row r="18" spans="1:11" s="247" customFormat="1" x14ac:dyDescent="0.3">
      <c r="A18"/>
      <c r="B18"/>
      <c r="C18"/>
      <c r="D18"/>
      <c r="E18"/>
      <c r="F18"/>
      <c r="G18"/>
      <c r="H18"/>
      <c r="I18"/>
      <c r="J18"/>
      <c r="K18"/>
    </row>
  </sheetData>
  <mergeCells count="13">
    <mergeCell ref="A4:K4"/>
    <mergeCell ref="J2:J3"/>
    <mergeCell ref="K2:K3"/>
    <mergeCell ref="A1:A3"/>
    <mergeCell ref="B1:D1"/>
    <mergeCell ref="E1:I1"/>
    <mergeCell ref="J1:K1"/>
    <mergeCell ref="B2:B3"/>
    <mergeCell ref="C2:C3"/>
    <mergeCell ref="D2:D3"/>
    <mergeCell ref="E2:F2"/>
    <mergeCell ref="G2:H2"/>
    <mergeCell ref="I2:I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22"/>
  <sheetViews>
    <sheetView topLeftCell="A6" workbookViewId="0">
      <selection activeCell="C14" sqref="C14:C16"/>
    </sheetView>
  </sheetViews>
  <sheetFormatPr defaultRowHeight="14" x14ac:dyDescent="0.3"/>
  <cols>
    <col min="1" max="1" width="5.83203125" customWidth="1"/>
    <col min="2" max="2" width="26.83203125" customWidth="1"/>
    <col min="3" max="3" width="11.83203125" customWidth="1"/>
    <col min="4" max="4" width="26.58203125" customWidth="1"/>
    <col min="5" max="5" width="11" customWidth="1"/>
    <col min="6" max="6" width="24.83203125" customWidth="1"/>
    <col min="7" max="7" width="11.08203125" customWidth="1"/>
  </cols>
  <sheetData>
    <row r="1" spans="1:7" x14ac:dyDescent="0.3">
      <c r="A1" s="345" t="s">
        <v>0</v>
      </c>
      <c r="B1" s="345" t="s">
        <v>218</v>
      </c>
      <c r="C1" s="345" t="s">
        <v>213</v>
      </c>
      <c r="D1" s="345" t="s">
        <v>214</v>
      </c>
      <c r="E1" s="345"/>
      <c r="F1" s="344" t="s">
        <v>215</v>
      </c>
      <c r="G1" s="344"/>
    </row>
    <row r="2" spans="1:7" ht="56" x14ac:dyDescent="0.3">
      <c r="A2" s="345"/>
      <c r="B2" s="345"/>
      <c r="C2" s="345"/>
      <c r="D2" s="226" t="s">
        <v>216</v>
      </c>
      <c r="E2" s="226" t="s">
        <v>217</v>
      </c>
      <c r="F2" s="226" t="s">
        <v>216</v>
      </c>
      <c r="G2" s="226" t="s">
        <v>217</v>
      </c>
    </row>
    <row r="3" spans="1:7" ht="16" customHeight="1" x14ac:dyDescent="0.3">
      <c r="A3" s="333">
        <v>1</v>
      </c>
      <c r="B3" s="330" t="s">
        <v>219</v>
      </c>
      <c r="C3" s="333" t="s">
        <v>220</v>
      </c>
      <c r="D3" s="201" t="str">
        <f>GWP!I80</f>
        <v>Emisi CO2 - Material Removal</v>
      </c>
      <c r="E3" s="203">
        <f>GWP!H80</f>
        <v>0.67241002113676196</v>
      </c>
      <c r="F3" s="214" t="str">
        <f>'UT GWP'!I44</f>
        <v>Solar - Utility Mining</v>
      </c>
      <c r="G3" s="203">
        <f>'UT GWP'!H44</f>
        <v>0.96848387201034136</v>
      </c>
    </row>
    <row r="4" spans="1:7" s="186" customFormat="1" x14ac:dyDescent="0.3">
      <c r="A4" s="334"/>
      <c r="B4" s="331"/>
      <c r="C4" s="334"/>
      <c r="D4" s="230" t="str">
        <f>GWP!I60</f>
        <v>Solar - Material Removal</v>
      </c>
      <c r="E4" s="203">
        <f>GWP!H60</f>
        <v>0.12456115393737394</v>
      </c>
      <c r="F4" s="230"/>
      <c r="G4" s="203"/>
    </row>
    <row r="5" spans="1:7" s="186" customFormat="1" x14ac:dyDescent="0.3">
      <c r="A5" s="335"/>
      <c r="B5" s="332"/>
      <c r="C5" s="335"/>
      <c r="D5" s="201" t="str">
        <f>GWP!I89</f>
        <v>Emisi CO2 - Coal Crushing</v>
      </c>
      <c r="E5" s="203">
        <f>GWP!H89</f>
        <v>6.920829099572294E-2</v>
      </c>
      <c r="F5" s="230"/>
      <c r="G5" s="200"/>
    </row>
    <row r="6" spans="1:7" x14ac:dyDescent="0.3">
      <c r="A6" s="336">
        <v>2</v>
      </c>
      <c r="B6" s="337" t="s">
        <v>221</v>
      </c>
      <c r="C6" s="336" t="s">
        <v>222</v>
      </c>
      <c r="D6" s="211" t="str">
        <f>ODP!I60</f>
        <v>Solar - Material Removal</v>
      </c>
      <c r="E6" s="213">
        <f>ODP!H60</f>
        <v>0.73922399891124912</v>
      </c>
      <c r="F6" s="231" t="str">
        <f>'UT ODP'!I44</f>
        <v>Solar - Utility Mining</v>
      </c>
      <c r="G6" s="213">
        <f>'UT ODP'!H44</f>
        <v>0.99008152857051945</v>
      </c>
    </row>
    <row r="7" spans="1:7" x14ac:dyDescent="0.3">
      <c r="A7" s="336"/>
      <c r="B7" s="337"/>
      <c r="C7" s="336"/>
      <c r="D7" s="211" t="str">
        <f>ODP!I80</f>
        <v>Emisi CO2 - Material Removal</v>
      </c>
      <c r="E7" s="213">
        <f>ODP!H80</f>
        <v>7.8864260793782962E-2</v>
      </c>
      <c r="F7" s="231"/>
      <c r="G7" s="212"/>
    </row>
    <row r="8" spans="1:7" ht="14.15" customHeight="1" x14ac:dyDescent="0.3">
      <c r="A8" s="333">
        <v>3</v>
      </c>
      <c r="B8" s="330" t="s">
        <v>223</v>
      </c>
      <c r="C8" s="333" t="s">
        <v>224</v>
      </c>
      <c r="D8" s="201" t="str">
        <f>AP!I80</f>
        <v>Emisi CO2 - Material Removal</v>
      </c>
      <c r="E8" s="203">
        <f>AP!H80</f>
        <v>0.44063641093504202</v>
      </c>
      <c r="F8" s="230" t="str">
        <f>'UT AP'!I44</f>
        <v>Solar - Utility Mining</v>
      </c>
      <c r="G8" s="203">
        <f>'UT AP'!H44</f>
        <v>0.97453094946073282</v>
      </c>
    </row>
    <row r="9" spans="1:7" x14ac:dyDescent="0.3">
      <c r="A9" s="334"/>
      <c r="B9" s="331"/>
      <c r="C9" s="334"/>
      <c r="D9" s="201" t="str">
        <f>AP!I60</f>
        <v>Solar - Material Removal</v>
      </c>
      <c r="E9" s="203">
        <f>AP!H60</f>
        <v>0.3268993757792214</v>
      </c>
      <c r="F9" s="230"/>
      <c r="G9" s="203"/>
    </row>
    <row r="10" spans="1:7" s="186" customFormat="1" x14ac:dyDescent="0.3">
      <c r="A10" s="335"/>
      <c r="B10" s="332"/>
      <c r="C10" s="335"/>
      <c r="D10" s="201" t="str">
        <f>AP!I89</f>
        <v>Emisi CO2 - Coal Crushing</v>
      </c>
      <c r="E10" s="203">
        <f>AP!H89</f>
        <v>4.5352823415314332E-2</v>
      </c>
      <c r="F10" s="230"/>
      <c r="G10" s="200"/>
    </row>
    <row r="11" spans="1:7" ht="14.15" customHeight="1" x14ac:dyDescent="0.3">
      <c r="A11" s="338">
        <v>4</v>
      </c>
      <c r="B11" s="341" t="s">
        <v>225</v>
      </c>
      <c r="C11" s="338" t="s">
        <v>226</v>
      </c>
      <c r="D11" s="211" t="str">
        <f>EP!I80</f>
        <v>Emisi CO2 - Material Removal</v>
      </c>
      <c r="E11" s="213">
        <f>EP!H80</f>
        <v>0.64130899514617301</v>
      </c>
      <c r="F11" s="231" t="str">
        <f>'UT EP'!I44</f>
        <v>Solar - Utility Mining</v>
      </c>
      <c r="G11" s="213">
        <f>'UT EP'!H44</f>
        <v>0.92928689109293416</v>
      </c>
    </row>
    <row r="12" spans="1:7" x14ac:dyDescent="0.3">
      <c r="A12" s="339"/>
      <c r="B12" s="342"/>
      <c r="C12" s="339"/>
      <c r="D12" s="211" t="str">
        <f>EP!I60</f>
        <v>Solar - Material Removal</v>
      </c>
      <c r="E12" s="213">
        <f>EP!H60</f>
        <v>0.14245947103336798</v>
      </c>
      <c r="F12" s="231"/>
      <c r="G12" s="213"/>
    </row>
    <row r="13" spans="1:7" s="185" customFormat="1" x14ac:dyDescent="0.3">
      <c r="A13" s="340"/>
      <c r="B13" s="343"/>
      <c r="C13" s="340"/>
      <c r="D13" s="305" t="str">
        <f>EP!I89</f>
        <v>Emisi CO2 - Coal Crushing</v>
      </c>
      <c r="E13" s="306">
        <f>EP!H89</f>
        <v>6.6007195251517131E-2</v>
      </c>
      <c r="F13" s="406"/>
      <c r="G13" s="306"/>
    </row>
    <row r="14" spans="1:7" s="421" customFormat="1" ht="14.15" customHeight="1" x14ac:dyDescent="0.3">
      <c r="A14" s="416"/>
      <c r="B14" s="417"/>
      <c r="C14" s="416"/>
      <c r="D14" s="418"/>
      <c r="E14" s="419"/>
      <c r="F14" s="420"/>
      <c r="G14" s="419"/>
    </row>
    <row r="15" spans="1:7" s="412" customFormat="1" x14ac:dyDescent="0.3">
      <c r="A15" s="407"/>
      <c r="B15" s="408"/>
      <c r="C15" s="407"/>
      <c r="D15" s="409"/>
      <c r="E15" s="410"/>
      <c r="F15" s="411"/>
      <c r="G15" s="410"/>
    </row>
    <row r="16" spans="1:7" s="412" customFormat="1" x14ac:dyDescent="0.3">
      <c r="A16" s="407"/>
      <c r="B16" s="408"/>
      <c r="C16" s="407"/>
      <c r="D16" s="409"/>
      <c r="E16" s="410"/>
      <c r="F16" s="411"/>
      <c r="G16" s="413"/>
    </row>
    <row r="17" spans="1:7" s="412" customFormat="1" x14ac:dyDescent="0.3">
      <c r="A17" s="407"/>
      <c r="B17" s="408"/>
      <c r="C17" s="407"/>
      <c r="D17" s="414"/>
      <c r="E17" s="415"/>
      <c r="F17" s="411"/>
      <c r="G17" s="410"/>
    </row>
    <row r="18" spans="1:7" s="412" customFormat="1" x14ac:dyDescent="0.3">
      <c r="A18" s="407"/>
      <c r="B18" s="408"/>
      <c r="C18" s="407"/>
      <c r="D18" s="414"/>
      <c r="E18" s="415"/>
      <c r="G18" s="410"/>
    </row>
    <row r="19" spans="1:7" s="412" customFormat="1" x14ac:dyDescent="0.3">
      <c r="A19" s="407"/>
      <c r="B19" s="408"/>
      <c r="C19" s="407"/>
      <c r="D19" s="409"/>
      <c r="E19" s="410"/>
      <c r="F19" s="411"/>
      <c r="G19" s="410"/>
    </row>
    <row r="20" spans="1:7" s="412" customFormat="1" x14ac:dyDescent="0.3">
      <c r="A20" s="407"/>
      <c r="B20" s="408"/>
      <c r="C20" s="407"/>
      <c r="D20" s="409"/>
      <c r="E20" s="410"/>
      <c r="F20" s="411"/>
      <c r="G20" s="413"/>
    </row>
    <row r="21" spans="1:7" s="412" customFormat="1" x14ac:dyDescent="0.3">
      <c r="A21" s="407"/>
      <c r="B21" s="408"/>
      <c r="C21" s="407"/>
      <c r="D21" s="409"/>
      <c r="E21" s="410"/>
      <c r="F21" s="411"/>
      <c r="G21" s="410"/>
    </row>
    <row r="22" spans="1:7" s="412" customFormat="1" x14ac:dyDescent="0.3">
      <c r="A22" s="407"/>
      <c r="B22" s="408"/>
      <c r="C22" s="407"/>
      <c r="D22" s="411"/>
      <c r="E22" s="410"/>
      <c r="F22" s="411"/>
      <c r="G22" s="410"/>
    </row>
  </sheetData>
  <mergeCells count="31">
    <mergeCell ref="F1:G1"/>
    <mergeCell ref="C6:C7"/>
    <mergeCell ref="C8:C10"/>
    <mergeCell ref="A1:A2"/>
    <mergeCell ref="D1:E1"/>
    <mergeCell ref="B1:B2"/>
    <mergeCell ref="C1:C2"/>
    <mergeCell ref="D17:D18"/>
    <mergeCell ref="E17:E18"/>
    <mergeCell ref="A3:A5"/>
    <mergeCell ref="B3:B5"/>
    <mergeCell ref="C3:C5"/>
    <mergeCell ref="A8:A10"/>
    <mergeCell ref="B8:B10"/>
    <mergeCell ref="A17:A18"/>
    <mergeCell ref="B17:B18"/>
    <mergeCell ref="C17:C18"/>
    <mergeCell ref="A11:A13"/>
    <mergeCell ref="B11:B13"/>
    <mergeCell ref="C11:C13"/>
    <mergeCell ref="C14:C16"/>
    <mergeCell ref="A6:A7"/>
    <mergeCell ref="B6:B7"/>
    <mergeCell ref="B14:B16"/>
    <mergeCell ref="A14:A16"/>
    <mergeCell ref="A21:A22"/>
    <mergeCell ref="B21:B22"/>
    <mergeCell ref="C21:C22"/>
    <mergeCell ref="A19:A20"/>
    <mergeCell ref="B19:B20"/>
    <mergeCell ref="C19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AD1015"/>
  <sheetViews>
    <sheetView topLeftCell="F10" zoomScale="69" zoomScaleNormal="40" workbookViewId="0">
      <selection activeCell="I23" sqref="I23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customWidth="1"/>
    <col min="4" max="4" width="23.25" customWidth="1"/>
    <col min="5" max="5" width="12.08203125" customWidth="1"/>
    <col min="6" max="6" width="7.58203125" customWidth="1"/>
    <col min="7" max="7" width="13.25" customWidth="1"/>
    <col min="8" max="8" width="12.08203125" customWidth="1"/>
    <col min="9" max="9" width="7.58203125" customWidth="1"/>
    <col min="10" max="10" width="16.83203125" customWidth="1"/>
    <col min="11" max="11" width="11.58203125" customWidth="1"/>
    <col min="12" max="14" width="7.58203125" customWidth="1"/>
    <col min="15" max="15" width="11.58203125" customWidth="1"/>
    <col min="16" max="16" width="13.58203125" customWidth="1"/>
    <col min="17" max="17" width="8.58203125" customWidth="1"/>
    <col min="18" max="18" width="22.58203125" customWidth="1"/>
    <col min="19" max="19" width="14.08203125" customWidth="1"/>
    <col min="20" max="20" width="7.58203125" customWidth="1"/>
    <col min="21" max="21" width="19.25" customWidth="1"/>
    <col min="22" max="23" width="7.58203125" customWidth="1"/>
    <col min="24" max="24" width="10.83203125" customWidth="1"/>
    <col min="25" max="26" width="7.58203125" customWidth="1"/>
    <col min="27" max="27" width="14.33203125" customWidth="1"/>
    <col min="28" max="29" width="7.58203125" customWidth="1"/>
    <col min="30" max="30" width="22" customWidth="1"/>
  </cols>
  <sheetData>
    <row r="1" spans="1:30" ht="14.25" customHeight="1" x14ac:dyDescent="0.3">
      <c r="A1" s="352" t="s">
        <v>0</v>
      </c>
      <c r="B1" s="352" t="s">
        <v>1</v>
      </c>
      <c r="C1" s="355" t="s">
        <v>2</v>
      </c>
      <c r="D1" s="376" t="s">
        <v>3</v>
      </c>
      <c r="E1" s="371"/>
      <c r="F1" s="371"/>
      <c r="G1" s="371"/>
      <c r="H1" s="371"/>
      <c r="I1" s="371"/>
      <c r="J1" s="371"/>
      <c r="K1" s="371"/>
      <c r="L1" s="371"/>
      <c r="M1" s="371"/>
      <c r="N1" s="372"/>
      <c r="O1" s="377" t="s">
        <v>4</v>
      </c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2"/>
      <c r="AD1" s="374" t="s">
        <v>5</v>
      </c>
    </row>
    <row r="2" spans="1:30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9</v>
      </c>
      <c r="H2" s="375" t="s">
        <v>7</v>
      </c>
      <c r="I2" s="375" t="s">
        <v>8</v>
      </c>
      <c r="J2" s="375" t="s">
        <v>10</v>
      </c>
      <c r="K2" s="375" t="s">
        <v>7</v>
      </c>
      <c r="L2" s="375" t="s">
        <v>8</v>
      </c>
      <c r="M2" s="373" t="s">
        <v>11</v>
      </c>
      <c r="N2" s="372"/>
      <c r="O2" s="362" t="s">
        <v>12</v>
      </c>
      <c r="P2" s="362" t="s">
        <v>7</v>
      </c>
      <c r="Q2" s="362" t="s">
        <v>8</v>
      </c>
      <c r="R2" s="362" t="s">
        <v>13</v>
      </c>
      <c r="S2" s="362" t="s">
        <v>7</v>
      </c>
      <c r="T2" s="362" t="s">
        <v>8</v>
      </c>
      <c r="U2" s="362" t="s">
        <v>14</v>
      </c>
      <c r="V2" s="362" t="s">
        <v>7</v>
      </c>
      <c r="W2" s="362" t="s">
        <v>8</v>
      </c>
      <c r="X2" s="362" t="s">
        <v>15</v>
      </c>
      <c r="Y2" s="362" t="s">
        <v>7</v>
      </c>
      <c r="Z2" s="362" t="s">
        <v>8</v>
      </c>
      <c r="AA2" s="362" t="s">
        <v>16</v>
      </c>
      <c r="AB2" s="362" t="s">
        <v>7</v>
      </c>
      <c r="AC2" s="362" t="s">
        <v>8</v>
      </c>
      <c r="AD2" s="353"/>
    </row>
    <row r="3" spans="1:30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1" t="s">
        <v>17</v>
      </c>
      <c r="N3" s="1" t="s">
        <v>8</v>
      </c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</row>
    <row r="4" spans="1:30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">
        <v>333.06</v>
      </c>
      <c r="F4" s="4" t="s">
        <v>21</v>
      </c>
      <c r="G4" s="5" t="s">
        <v>22</v>
      </c>
      <c r="H4" s="6">
        <v>218005.76520536662</v>
      </c>
      <c r="I4" s="6" t="s">
        <v>23</v>
      </c>
      <c r="J4" s="7"/>
      <c r="K4" s="7"/>
      <c r="L4" s="7"/>
      <c r="M4" s="7"/>
      <c r="N4" s="7"/>
      <c r="O4" s="8" t="s">
        <v>24</v>
      </c>
      <c r="P4" s="250">
        <f>($H$4*$O$60)*P53</f>
        <v>0.97851451700898395</v>
      </c>
      <c r="Q4" s="9" t="s">
        <v>25</v>
      </c>
      <c r="R4" s="10" t="s">
        <v>26</v>
      </c>
      <c r="S4" s="4">
        <v>239</v>
      </c>
      <c r="T4" s="11" t="s">
        <v>27</v>
      </c>
      <c r="U4" s="12"/>
      <c r="V4" s="12"/>
      <c r="W4" s="12"/>
      <c r="X4" s="13"/>
      <c r="Y4" s="13"/>
      <c r="Z4" s="13"/>
      <c r="AA4" s="13"/>
      <c r="AB4" s="13"/>
      <c r="AC4" s="13"/>
      <c r="AD4" s="14"/>
    </row>
    <row r="5" spans="1:30" ht="14.25" customHeight="1" x14ac:dyDescent="0.3">
      <c r="A5" s="353"/>
      <c r="B5" s="353"/>
      <c r="C5" s="15" t="s">
        <v>28</v>
      </c>
      <c r="D5" s="7"/>
      <c r="E5" s="16"/>
      <c r="F5" s="16"/>
      <c r="G5" s="7"/>
      <c r="H5" s="16"/>
      <c r="I5" s="16"/>
      <c r="J5" s="7"/>
      <c r="K5" s="7"/>
      <c r="L5" s="7"/>
      <c r="M5" s="7"/>
      <c r="N5" s="7"/>
      <c r="O5" s="17" t="s">
        <v>29</v>
      </c>
      <c r="P5" s="250">
        <f>($H$4*$O$60)*P54</f>
        <v>14.879887581555609</v>
      </c>
      <c r="Q5" s="18" t="s">
        <v>30</v>
      </c>
      <c r="R5" s="7"/>
      <c r="S5" s="16"/>
      <c r="T5" s="7"/>
      <c r="U5" s="7"/>
      <c r="V5" s="7"/>
      <c r="W5" s="7"/>
      <c r="X5" s="13"/>
      <c r="Y5" s="13"/>
      <c r="Z5" s="13"/>
      <c r="AA5" s="13"/>
      <c r="AB5" s="13"/>
      <c r="AC5" s="13"/>
      <c r="AD5" s="14"/>
    </row>
    <row r="6" spans="1:30" ht="14.25" customHeight="1" x14ac:dyDescent="0.3">
      <c r="A6" s="353"/>
      <c r="B6" s="353"/>
      <c r="C6" s="15"/>
      <c r="D6" s="7"/>
      <c r="E6" s="16"/>
      <c r="F6" s="16"/>
      <c r="G6" s="7"/>
      <c r="H6" s="16"/>
      <c r="I6" s="16"/>
      <c r="J6" s="7"/>
      <c r="K6" s="7"/>
      <c r="L6" s="7"/>
      <c r="M6" s="7"/>
      <c r="N6" s="7"/>
      <c r="O6" s="17" t="s">
        <v>31</v>
      </c>
      <c r="P6" s="250">
        <f>($H$4*$O$60)*P56</f>
        <v>581.55217926183593</v>
      </c>
      <c r="Q6" s="18" t="s">
        <v>32</v>
      </c>
      <c r="R6" s="7"/>
      <c r="S6" s="16"/>
      <c r="T6" s="7"/>
      <c r="U6" s="7"/>
      <c r="V6" s="7"/>
      <c r="W6" s="7"/>
      <c r="X6" s="13"/>
      <c r="Y6" s="13"/>
      <c r="Z6" s="13"/>
      <c r="AA6" s="13"/>
      <c r="AB6" s="13"/>
      <c r="AC6" s="13"/>
      <c r="AD6" s="14"/>
    </row>
    <row r="7" spans="1:30" ht="14.25" customHeight="1" x14ac:dyDescent="0.3">
      <c r="A7" s="354"/>
      <c r="B7" s="354"/>
      <c r="C7" s="15"/>
      <c r="D7" s="7"/>
      <c r="E7" s="16"/>
      <c r="F7" s="16"/>
      <c r="G7" s="7"/>
      <c r="H7" s="16"/>
      <c r="I7" s="16"/>
      <c r="J7" s="7"/>
      <c r="K7" s="7"/>
      <c r="L7" s="7"/>
      <c r="M7" s="7"/>
      <c r="N7" s="7"/>
      <c r="O7" s="7"/>
      <c r="P7" s="251"/>
      <c r="Q7" s="16"/>
      <c r="R7" s="7"/>
      <c r="S7" s="16"/>
      <c r="T7" s="7"/>
      <c r="U7" s="7"/>
      <c r="V7" s="7"/>
      <c r="W7" s="7"/>
      <c r="X7" s="13"/>
      <c r="Y7" s="13"/>
      <c r="Z7" s="13"/>
      <c r="AA7" s="13"/>
      <c r="AB7" s="13"/>
      <c r="AC7" s="13"/>
      <c r="AD7" s="14"/>
    </row>
    <row r="8" spans="1:30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6">
        <v>972822</v>
      </c>
      <c r="F8" s="18" t="s">
        <v>35</v>
      </c>
      <c r="G8" s="5" t="s">
        <v>22</v>
      </c>
      <c r="H8" s="6">
        <v>1543535.3718051447</v>
      </c>
      <c r="I8" s="6" t="s">
        <v>23</v>
      </c>
      <c r="J8" s="7"/>
      <c r="K8" s="7"/>
      <c r="L8" s="7"/>
      <c r="M8" s="7"/>
      <c r="N8" s="7"/>
      <c r="O8" s="8" t="s">
        <v>24</v>
      </c>
      <c r="P8" s="250">
        <f>($H$8*$O$60)*P53</f>
        <v>6.9281276456399565</v>
      </c>
      <c r="Q8" s="9" t="s">
        <v>25</v>
      </c>
      <c r="R8" s="19" t="s">
        <v>34</v>
      </c>
      <c r="S8" s="6">
        <f>E8</f>
        <v>972822</v>
      </c>
      <c r="T8" s="20" t="s">
        <v>35</v>
      </c>
      <c r="U8" s="7"/>
      <c r="V8" s="7"/>
      <c r="W8" s="7"/>
      <c r="X8" s="13"/>
      <c r="Y8" s="13"/>
      <c r="Z8" s="13"/>
      <c r="AA8" s="13"/>
      <c r="AB8" s="13"/>
      <c r="AC8" s="13"/>
      <c r="AD8" s="14"/>
    </row>
    <row r="9" spans="1:30" ht="14.25" customHeight="1" x14ac:dyDescent="0.3">
      <c r="A9" s="353"/>
      <c r="B9" s="353"/>
      <c r="C9" s="2" t="s">
        <v>36</v>
      </c>
      <c r="D9" s="7"/>
      <c r="E9" s="16"/>
      <c r="F9" s="16"/>
      <c r="G9" s="7"/>
      <c r="H9" s="16"/>
      <c r="I9" s="16"/>
      <c r="J9" s="7"/>
      <c r="K9" s="7"/>
      <c r="L9" s="7"/>
      <c r="M9" s="7"/>
      <c r="N9" s="7"/>
      <c r="O9" s="17" t="s">
        <v>29</v>
      </c>
      <c r="P9" s="250">
        <f>($H$8*$O$60)*P54</f>
        <v>105.35332764699658</v>
      </c>
      <c r="Q9" s="18" t="s">
        <v>30</v>
      </c>
      <c r="R9" s="21"/>
      <c r="S9" s="16"/>
      <c r="T9" s="21"/>
      <c r="U9" s="7"/>
      <c r="V9" s="7"/>
      <c r="W9" s="7"/>
      <c r="X9" s="13"/>
      <c r="Y9" s="13"/>
      <c r="Z9" s="13"/>
      <c r="AA9" s="13"/>
      <c r="AB9" s="13"/>
      <c r="AC9" s="13"/>
      <c r="AD9" s="14"/>
    </row>
    <row r="10" spans="1:30" ht="14.25" customHeight="1" x14ac:dyDescent="0.3">
      <c r="A10" s="353"/>
      <c r="B10" s="353"/>
      <c r="C10" s="2"/>
      <c r="D10" s="7"/>
      <c r="E10" s="16"/>
      <c r="F10" s="16"/>
      <c r="G10" s="7"/>
      <c r="H10" s="16"/>
      <c r="I10" s="16"/>
      <c r="J10" s="7"/>
      <c r="K10" s="7"/>
      <c r="L10" s="7"/>
      <c r="M10" s="7"/>
      <c r="N10" s="7"/>
      <c r="O10" s="17" t="s">
        <v>31</v>
      </c>
      <c r="P10" s="250">
        <f>($H$8*$O$60)*P56</f>
        <v>4117.5349578274036</v>
      </c>
      <c r="Q10" s="18" t="s">
        <v>32</v>
      </c>
      <c r="R10" s="21"/>
      <c r="S10" s="16"/>
      <c r="T10" s="21"/>
      <c r="U10" s="7"/>
      <c r="V10" s="7"/>
      <c r="W10" s="7"/>
      <c r="X10" s="13"/>
      <c r="Y10" s="13"/>
      <c r="Z10" s="13"/>
      <c r="AA10" s="13"/>
      <c r="AB10" s="13"/>
      <c r="AC10" s="13"/>
      <c r="AD10" s="14"/>
    </row>
    <row r="11" spans="1:30" ht="14.25" customHeight="1" x14ac:dyDescent="0.3">
      <c r="A11" s="354"/>
      <c r="B11" s="354"/>
      <c r="C11" s="2"/>
      <c r="D11" s="7"/>
      <c r="E11" s="16"/>
      <c r="F11" s="16"/>
      <c r="G11" s="7"/>
      <c r="H11" s="16"/>
      <c r="I11" s="16"/>
      <c r="J11" s="7"/>
      <c r="K11" s="7"/>
      <c r="L11" s="7"/>
      <c r="M11" s="7"/>
      <c r="N11" s="7"/>
      <c r="O11" s="21"/>
      <c r="P11" s="251"/>
      <c r="Q11" s="22"/>
      <c r="R11" s="21"/>
      <c r="S11" s="16"/>
      <c r="T11" s="21"/>
      <c r="U11" s="7"/>
      <c r="V11" s="7"/>
      <c r="W11" s="7"/>
      <c r="X11" s="13"/>
      <c r="Y11" s="13"/>
      <c r="Z11" s="13"/>
      <c r="AA11" s="13"/>
      <c r="AB11" s="13"/>
      <c r="AC11" s="13"/>
      <c r="AD11" s="14"/>
    </row>
    <row r="12" spans="1:30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23">
        <v>91590645</v>
      </c>
      <c r="F12" s="23" t="s">
        <v>40</v>
      </c>
      <c r="G12" s="5" t="s">
        <v>22</v>
      </c>
      <c r="H12" s="6">
        <v>375602</v>
      </c>
      <c r="I12" s="6" t="s">
        <v>23</v>
      </c>
      <c r="J12" s="10" t="s">
        <v>41</v>
      </c>
      <c r="K12" s="4">
        <v>95274</v>
      </c>
      <c r="L12" s="6" t="s">
        <v>42</v>
      </c>
      <c r="M12" s="7"/>
      <c r="N12" s="7"/>
      <c r="O12" s="8" t="s">
        <v>24</v>
      </c>
      <c r="P12" s="250">
        <f>($H$12*$O$60)*P53</f>
        <v>1.6858820649600001</v>
      </c>
      <c r="Q12" s="9" t="s">
        <v>25</v>
      </c>
      <c r="R12" s="19" t="s">
        <v>43</v>
      </c>
      <c r="S12" s="6">
        <f>E12*88.8%</f>
        <v>81332492.760000005</v>
      </c>
      <c r="T12" s="20" t="s">
        <v>40</v>
      </c>
      <c r="U12" s="7"/>
      <c r="V12" s="7"/>
      <c r="W12" s="7"/>
      <c r="X12" s="13"/>
      <c r="Y12" s="13"/>
      <c r="Z12" s="13"/>
      <c r="AA12" s="13"/>
      <c r="AB12" s="13"/>
      <c r="AC12" s="13"/>
      <c r="AD12" s="14"/>
    </row>
    <row r="13" spans="1:30" ht="14.25" customHeight="1" x14ac:dyDescent="0.3">
      <c r="A13" s="353"/>
      <c r="B13" s="353"/>
      <c r="C13" s="10"/>
      <c r="D13" s="7"/>
      <c r="E13" s="16"/>
      <c r="F13" s="16"/>
      <c r="G13" s="7"/>
      <c r="H13" s="16"/>
      <c r="I13" s="16"/>
      <c r="J13" s="10" t="s">
        <v>44</v>
      </c>
      <c r="K13" s="4">
        <v>12713</v>
      </c>
      <c r="L13" s="6" t="s">
        <v>42</v>
      </c>
      <c r="M13" s="7"/>
      <c r="N13" s="7"/>
      <c r="O13" s="17" t="s">
        <v>29</v>
      </c>
      <c r="P13" s="250">
        <f>($H$12*$O$60)*P54</f>
        <v>25.636549245120001</v>
      </c>
      <c r="Q13" s="18" t="s">
        <v>30</v>
      </c>
      <c r="R13" s="7"/>
      <c r="S13" s="16"/>
      <c r="T13" s="7"/>
      <c r="U13" s="7"/>
      <c r="V13" s="7"/>
      <c r="W13" s="7"/>
      <c r="X13" s="13"/>
      <c r="Y13" s="13"/>
      <c r="Z13" s="13"/>
      <c r="AA13" s="13"/>
      <c r="AB13" s="13"/>
      <c r="AC13" s="13"/>
      <c r="AD13" s="14"/>
    </row>
    <row r="14" spans="1:30" ht="14.25" customHeight="1" x14ac:dyDescent="0.3">
      <c r="A14" s="353"/>
      <c r="B14" s="353"/>
      <c r="C14" s="10"/>
      <c r="D14" s="7"/>
      <c r="E14" s="16"/>
      <c r="F14" s="16"/>
      <c r="G14" s="7"/>
      <c r="H14" s="16"/>
      <c r="I14" s="16"/>
      <c r="J14" s="10" t="s">
        <v>45</v>
      </c>
      <c r="K14" s="4">
        <v>2652489</v>
      </c>
      <c r="L14" s="4" t="s">
        <v>42</v>
      </c>
      <c r="M14" s="7"/>
      <c r="N14" s="7"/>
      <c r="O14" s="17" t="s">
        <v>31</v>
      </c>
      <c r="P14" s="250">
        <f>($H$12*$O$60)*P56</f>
        <v>1001.9558952</v>
      </c>
      <c r="Q14" s="18" t="s">
        <v>32</v>
      </c>
      <c r="R14" s="7"/>
      <c r="S14" s="16"/>
      <c r="T14" s="7"/>
      <c r="U14" s="7"/>
      <c r="V14" s="7"/>
      <c r="W14" s="7"/>
      <c r="X14" s="13"/>
      <c r="Y14" s="13"/>
      <c r="Z14" s="13"/>
      <c r="AA14" s="13"/>
      <c r="AB14" s="13"/>
      <c r="AC14" s="13"/>
      <c r="AD14" s="14"/>
    </row>
    <row r="15" spans="1:30" ht="14.25" customHeight="1" x14ac:dyDescent="0.3">
      <c r="A15" s="353"/>
      <c r="B15" s="353"/>
      <c r="C15" s="10"/>
      <c r="D15" s="7"/>
      <c r="E15" s="16"/>
      <c r="F15" s="16"/>
      <c r="G15" s="7"/>
      <c r="H15" s="16"/>
      <c r="I15" s="16"/>
      <c r="J15" s="10" t="s">
        <v>46</v>
      </c>
      <c r="K15" s="4">
        <v>3981424</v>
      </c>
      <c r="L15" s="4" t="s">
        <v>42</v>
      </c>
      <c r="M15" s="7"/>
      <c r="N15" s="7"/>
      <c r="O15" s="24"/>
      <c r="P15" s="251"/>
      <c r="Q15" s="25"/>
      <c r="R15" s="7"/>
      <c r="S15" s="16"/>
      <c r="T15" s="7"/>
      <c r="U15" s="7"/>
      <c r="V15" s="7"/>
      <c r="W15" s="7"/>
      <c r="X15" s="13"/>
      <c r="Y15" s="13"/>
      <c r="Z15" s="13"/>
      <c r="AA15" s="13"/>
      <c r="AB15" s="13"/>
      <c r="AC15" s="13"/>
      <c r="AD15" s="14"/>
    </row>
    <row r="16" spans="1:30" ht="14.25" customHeight="1" x14ac:dyDescent="0.3">
      <c r="A16" s="353"/>
      <c r="B16" s="353"/>
      <c r="C16" s="10"/>
      <c r="D16" s="7"/>
      <c r="E16" s="16"/>
      <c r="F16" s="16"/>
      <c r="G16" s="7"/>
      <c r="H16" s="16"/>
      <c r="I16" s="16"/>
      <c r="J16" s="3" t="s">
        <v>47</v>
      </c>
      <c r="K16" s="4">
        <v>117450</v>
      </c>
      <c r="L16" s="4" t="s">
        <v>48</v>
      </c>
      <c r="M16" s="7"/>
      <c r="N16" s="7"/>
      <c r="O16" s="24"/>
      <c r="P16" s="251"/>
      <c r="Q16" s="25"/>
      <c r="R16" s="7"/>
      <c r="S16" s="16"/>
      <c r="T16" s="7"/>
      <c r="U16" s="7"/>
      <c r="V16" s="7"/>
      <c r="W16" s="7"/>
      <c r="X16" s="13"/>
      <c r="Y16" s="13"/>
      <c r="Z16" s="13"/>
      <c r="AA16" s="13"/>
      <c r="AB16" s="13"/>
      <c r="AC16" s="13"/>
      <c r="AD16" s="14"/>
    </row>
    <row r="17" spans="1:30" ht="14.25" customHeight="1" x14ac:dyDescent="0.35">
      <c r="A17" s="354"/>
      <c r="B17" s="354"/>
      <c r="C17" s="10"/>
      <c r="D17" s="7"/>
      <c r="E17" s="16"/>
      <c r="F17" s="16"/>
      <c r="G17" s="7"/>
      <c r="H17" s="16"/>
      <c r="I17" s="16"/>
      <c r="J17" s="26"/>
      <c r="K17" s="26"/>
      <c r="L17" s="26"/>
      <c r="M17" s="7"/>
      <c r="N17" s="7"/>
      <c r="O17" s="7"/>
      <c r="P17" s="251"/>
      <c r="Q17" s="16"/>
      <c r="R17" s="7"/>
      <c r="S17" s="16"/>
      <c r="T17" s="7"/>
      <c r="U17" s="7"/>
      <c r="V17" s="7"/>
      <c r="W17" s="7"/>
      <c r="X17" s="13"/>
      <c r="Y17" s="13"/>
      <c r="Z17" s="13"/>
      <c r="AA17" s="13"/>
      <c r="AB17" s="13"/>
      <c r="AC17" s="13"/>
      <c r="AD17" s="14"/>
    </row>
    <row r="18" spans="1:30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6">
        <f>E12</f>
        <v>91590645</v>
      </c>
      <c r="F18" s="6" t="s">
        <v>40</v>
      </c>
      <c r="G18" s="3" t="s">
        <v>22</v>
      </c>
      <c r="H18" s="27">
        <v>38539302</v>
      </c>
      <c r="I18" s="4" t="s">
        <v>23</v>
      </c>
      <c r="J18" s="7"/>
      <c r="K18" s="7"/>
      <c r="L18" s="7"/>
      <c r="M18" s="7"/>
      <c r="N18" s="7"/>
      <c r="O18" s="8" t="s">
        <v>24</v>
      </c>
      <c r="P18" s="250">
        <f>($H$18*$O$60)*P53</f>
        <v>172.98288624096</v>
      </c>
      <c r="Q18" s="9" t="s">
        <v>25</v>
      </c>
      <c r="R18" s="5" t="s">
        <v>50</v>
      </c>
      <c r="S18" s="6">
        <f>E18</f>
        <v>91590645</v>
      </c>
      <c r="T18" s="6" t="s">
        <v>40</v>
      </c>
      <c r="U18" s="7"/>
      <c r="V18" s="7"/>
      <c r="W18" s="7"/>
      <c r="X18" s="13"/>
      <c r="Y18" s="13"/>
      <c r="Z18" s="13"/>
      <c r="AA18" s="13"/>
      <c r="AB18" s="13"/>
      <c r="AC18" s="13"/>
      <c r="AD18" s="14"/>
    </row>
    <row r="19" spans="1:30" ht="14.25" customHeight="1" x14ac:dyDescent="0.3">
      <c r="A19" s="353"/>
      <c r="B19" s="353"/>
      <c r="C19" s="14" t="s">
        <v>51</v>
      </c>
      <c r="D19" s="7"/>
      <c r="E19" s="16"/>
      <c r="F19" s="16"/>
      <c r="G19" s="7"/>
      <c r="H19" s="16"/>
      <c r="I19" s="16"/>
      <c r="J19" s="7"/>
      <c r="K19" s="7"/>
      <c r="L19" s="7"/>
      <c r="M19" s="7"/>
      <c r="N19" s="7"/>
      <c r="O19" s="17" t="s">
        <v>29</v>
      </c>
      <c r="P19" s="250">
        <f>($H$18*$O$60)*P54</f>
        <v>2630.4831007171201</v>
      </c>
      <c r="Q19" s="18" t="s">
        <v>30</v>
      </c>
      <c r="R19" s="7"/>
      <c r="S19" s="16"/>
      <c r="T19" s="7"/>
      <c r="U19" s="7"/>
      <c r="V19" s="7"/>
      <c r="W19" s="7"/>
      <c r="X19" s="13"/>
      <c r="Y19" s="13"/>
      <c r="Z19" s="13"/>
      <c r="AA19" s="13"/>
      <c r="AB19" s="13"/>
      <c r="AC19" s="13"/>
      <c r="AD19" s="14"/>
    </row>
    <row r="20" spans="1:30" ht="14.25" customHeight="1" x14ac:dyDescent="0.3">
      <c r="A20" s="353"/>
      <c r="B20" s="353"/>
      <c r="C20" s="14"/>
      <c r="D20" s="7"/>
      <c r="E20" s="16"/>
      <c r="F20" s="16"/>
      <c r="G20" s="7"/>
      <c r="H20" s="16"/>
      <c r="I20" s="16"/>
      <c r="J20" s="7"/>
      <c r="K20" s="7"/>
      <c r="L20" s="7"/>
      <c r="M20" s="7"/>
      <c r="N20" s="7"/>
      <c r="O20" s="17" t="s">
        <v>31</v>
      </c>
      <c r="P20" s="250">
        <f>($H$18*$O$60)*P56</f>
        <v>102807.44201519999</v>
      </c>
      <c r="Q20" s="18" t="s">
        <v>32</v>
      </c>
      <c r="R20" s="7"/>
      <c r="S20" s="16"/>
      <c r="T20" s="7"/>
      <c r="U20" s="7"/>
      <c r="V20" s="7"/>
      <c r="W20" s="7"/>
      <c r="X20" s="13"/>
      <c r="Y20" s="13"/>
      <c r="Z20" s="13"/>
      <c r="AA20" s="13"/>
      <c r="AB20" s="13"/>
      <c r="AC20" s="13"/>
      <c r="AD20" s="14"/>
    </row>
    <row r="21" spans="1:30" ht="14.25" customHeight="1" x14ac:dyDescent="0.3">
      <c r="A21" s="354"/>
      <c r="B21" s="354"/>
      <c r="C21" s="14"/>
      <c r="D21" s="7"/>
      <c r="E21" s="16"/>
      <c r="F21" s="16"/>
      <c r="G21" s="7"/>
      <c r="H21" s="16"/>
      <c r="I21" s="16"/>
      <c r="J21" s="7"/>
      <c r="K21" s="7"/>
      <c r="L21" s="7"/>
      <c r="M21" s="7"/>
      <c r="N21" s="7"/>
      <c r="O21" s="7"/>
      <c r="P21" s="251"/>
      <c r="Q21" s="16"/>
      <c r="R21" s="7"/>
      <c r="S21" s="16"/>
      <c r="T21" s="7"/>
      <c r="U21" s="7"/>
      <c r="V21" s="7"/>
      <c r="W21" s="7"/>
      <c r="X21" s="13"/>
      <c r="Y21" s="13"/>
      <c r="Z21" s="13"/>
      <c r="AA21" s="13"/>
      <c r="AB21" s="13"/>
      <c r="AC21" s="13"/>
      <c r="AD21" s="14"/>
    </row>
    <row r="22" spans="1:30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v>3687229</v>
      </c>
      <c r="F22" s="6" t="s">
        <v>55</v>
      </c>
      <c r="G22" s="3" t="s">
        <v>22</v>
      </c>
      <c r="H22" s="4">
        <v>650488</v>
      </c>
      <c r="I22" s="4" t="s">
        <v>23</v>
      </c>
      <c r="J22" s="7"/>
      <c r="K22" s="7"/>
      <c r="L22" s="7"/>
      <c r="M22" s="7"/>
      <c r="N22" s="7"/>
      <c r="O22" s="8" t="s">
        <v>24</v>
      </c>
      <c r="P22" s="250">
        <f>($H$22*$O$60)*P53</f>
        <v>2.9197023782399998</v>
      </c>
      <c r="Q22" s="9" t="s">
        <v>25</v>
      </c>
      <c r="R22" s="17" t="s">
        <v>54</v>
      </c>
      <c r="S22" s="6">
        <f>E22</f>
        <v>3687229</v>
      </c>
      <c r="T22" s="6" t="s">
        <v>55</v>
      </c>
      <c r="U22" s="7"/>
      <c r="V22" s="7"/>
      <c r="W22" s="7"/>
      <c r="X22" s="13"/>
      <c r="Y22" s="13"/>
      <c r="Z22" s="13"/>
      <c r="AA22" s="13"/>
      <c r="AB22" s="13"/>
      <c r="AC22" s="13"/>
      <c r="AD22" s="14"/>
    </row>
    <row r="23" spans="1:30" ht="14.25" customHeight="1" x14ac:dyDescent="0.3">
      <c r="A23" s="353"/>
      <c r="B23" s="353"/>
      <c r="C23" s="28"/>
      <c r="D23" s="7"/>
      <c r="E23" s="16"/>
      <c r="F23" s="16"/>
      <c r="G23" s="7"/>
      <c r="H23" s="16"/>
      <c r="I23" s="16"/>
      <c r="J23" s="7"/>
      <c r="K23" s="7"/>
      <c r="L23" s="7"/>
      <c r="M23" s="7"/>
      <c r="N23" s="7"/>
      <c r="O23" s="17" t="s">
        <v>29</v>
      </c>
      <c r="P23" s="250">
        <f>($H$22*$O$60)*P54</f>
        <v>44.398772225279998</v>
      </c>
      <c r="Q23" s="18" t="s">
        <v>30</v>
      </c>
      <c r="R23" s="24"/>
      <c r="S23" s="16"/>
      <c r="T23" s="16"/>
      <c r="U23" s="7"/>
      <c r="V23" s="7"/>
      <c r="W23" s="7"/>
      <c r="X23" s="13"/>
      <c r="Y23" s="13"/>
      <c r="Z23" s="13"/>
      <c r="AA23" s="13"/>
      <c r="AB23" s="13"/>
      <c r="AC23" s="13"/>
      <c r="AD23" s="14"/>
    </row>
    <row r="24" spans="1:30" ht="14.25" customHeight="1" x14ac:dyDescent="0.3">
      <c r="A24" s="353"/>
      <c r="B24" s="353"/>
      <c r="C24" s="28"/>
      <c r="D24" s="7"/>
      <c r="E24" s="16"/>
      <c r="F24" s="16"/>
      <c r="G24" s="7"/>
      <c r="H24" s="16"/>
      <c r="I24" s="16"/>
      <c r="J24" s="7"/>
      <c r="K24" s="7"/>
      <c r="L24" s="7"/>
      <c r="M24" s="7"/>
      <c r="N24" s="7"/>
      <c r="O24" s="17" t="s">
        <v>31</v>
      </c>
      <c r="P24" s="250">
        <f>($H$22*$O$60)*P56</f>
        <v>1735.2417887999998</v>
      </c>
      <c r="Q24" s="18" t="s">
        <v>32</v>
      </c>
      <c r="R24" s="24"/>
      <c r="S24" s="16"/>
      <c r="T24" s="16"/>
      <c r="U24" s="7"/>
      <c r="V24" s="7"/>
      <c r="W24" s="7"/>
      <c r="X24" s="13"/>
      <c r="Y24" s="13"/>
      <c r="Z24" s="13"/>
      <c r="AA24" s="13"/>
      <c r="AB24" s="13"/>
      <c r="AC24" s="13"/>
      <c r="AD24" s="14"/>
    </row>
    <row r="25" spans="1:30" ht="14.25" customHeight="1" x14ac:dyDescent="0.3">
      <c r="A25" s="354"/>
      <c r="B25" s="354"/>
      <c r="C25" s="28"/>
      <c r="D25" s="7"/>
      <c r="E25" s="16"/>
      <c r="F25" s="16"/>
      <c r="G25" s="7"/>
      <c r="H25" s="16"/>
      <c r="I25" s="16"/>
      <c r="J25" s="7"/>
      <c r="K25" s="7"/>
      <c r="L25" s="7"/>
      <c r="M25" s="7"/>
      <c r="N25" s="7"/>
      <c r="O25" s="7"/>
      <c r="P25" s="251"/>
      <c r="Q25" s="16"/>
      <c r="R25" s="24"/>
      <c r="S25" s="16"/>
      <c r="T25" s="16"/>
      <c r="U25" s="7"/>
      <c r="V25" s="7"/>
      <c r="W25" s="7"/>
      <c r="X25" s="13"/>
      <c r="Y25" s="13"/>
      <c r="Z25" s="13"/>
      <c r="AA25" s="13"/>
      <c r="AB25" s="13"/>
      <c r="AC25" s="13"/>
      <c r="AD25" s="14"/>
    </row>
    <row r="26" spans="1:30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E22</f>
        <v>3687229</v>
      </c>
      <c r="F26" s="6" t="s">
        <v>55</v>
      </c>
      <c r="G26" s="3" t="s">
        <v>22</v>
      </c>
      <c r="H26" s="4">
        <v>1534629</v>
      </c>
      <c r="I26" s="4" t="s">
        <v>23</v>
      </c>
      <c r="J26" s="7"/>
      <c r="K26" s="7"/>
      <c r="L26" s="7"/>
      <c r="M26" s="7"/>
      <c r="N26" s="7"/>
      <c r="O26" s="8" t="s">
        <v>24</v>
      </c>
      <c r="P26" s="250">
        <f>($H$26*$O$60)*P53</f>
        <v>6.8881515739200001</v>
      </c>
      <c r="Q26" s="9" t="s">
        <v>25</v>
      </c>
      <c r="R26" s="17" t="s">
        <v>54</v>
      </c>
      <c r="S26" s="6">
        <f>E26</f>
        <v>3687229</v>
      </c>
      <c r="T26" s="6" t="s">
        <v>55</v>
      </c>
      <c r="U26" s="7"/>
      <c r="V26" s="7"/>
      <c r="W26" s="7"/>
      <c r="X26" s="13"/>
      <c r="Y26" s="13"/>
      <c r="Z26" s="13"/>
      <c r="AA26" s="13"/>
      <c r="AB26" s="13"/>
      <c r="AC26" s="13"/>
      <c r="AD26" s="14"/>
    </row>
    <row r="27" spans="1:30" ht="14.25" customHeight="1" x14ac:dyDescent="0.3">
      <c r="A27" s="353"/>
      <c r="B27" s="353"/>
      <c r="C27" s="28"/>
      <c r="D27" s="7"/>
      <c r="E27" s="16"/>
      <c r="F27" s="16"/>
      <c r="G27" s="7"/>
      <c r="H27" s="16"/>
      <c r="I27" s="16"/>
      <c r="J27" s="7"/>
      <c r="K27" s="7"/>
      <c r="L27" s="7"/>
      <c r="M27" s="7"/>
      <c r="N27" s="7"/>
      <c r="O27" s="17" t="s">
        <v>29</v>
      </c>
      <c r="P27" s="250">
        <f>($H$26*$O$60)*P54</f>
        <v>104.74542715824001</v>
      </c>
      <c r="Q27" s="18" t="s">
        <v>30</v>
      </c>
      <c r="R27" s="24"/>
      <c r="S27" s="16"/>
      <c r="T27" s="16"/>
      <c r="U27" s="7"/>
      <c r="V27" s="7"/>
      <c r="W27" s="7"/>
      <c r="X27" s="13"/>
      <c r="Y27" s="13"/>
      <c r="Z27" s="13"/>
      <c r="AA27" s="13"/>
      <c r="AB27" s="13"/>
      <c r="AC27" s="13"/>
      <c r="AD27" s="14"/>
    </row>
    <row r="28" spans="1:30" ht="14.25" customHeight="1" x14ac:dyDescent="0.3">
      <c r="A28" s="353"/>
      <c r="B28" s="353"/>
      <c r="C28" s="28"/>
      <c r="D28" s="7"/>
      <c r="E28" s="16"/>
      <c r="F28" s="16"/>
      <c r="G28" s="7"/>
      <c r="H28" s="16"/>
      <c r="I28" s="16"/>
      <c r="J28" s="7"/>
      <c r="K28" s="7"/>
      <c r="L28" s="7"/>
      <c r="M28" s="7"/>
      <c r="N28" s="7"/>
      <c r="O28" s="17" t="s">
        <v>31</v>
      </c>
      <c r="P28" s="250">
        <f>($H$26*$O$60)*P56</f>
        <v>4093.7763203999998</v>
      </c>
      <c r="Q28" s="18" t="s">
        <v>32</v>
      </c>
      <c r="R28" s="24"/>
      <c r="S28" s="16"/>
      <c r="T28" s="16"/>
      <c r="U28" s="7"/>
      <c r="V28" s="7"/>
      <c r="W28" s="7"/>
      <c r="X28" s="13"/>
      <c r="Y28" s="13"/>
      <c r="Z28" s="13"/>
      <c r="AA28" s="13"/>
      <c r="AB28" s="13"/>
      <c r="AC28" s="13"/>
      <c r="AD28" s="14"/>
    </row>
    <row r="29" spans="1:30" ht="14.25" customHeight="1" x14ac:dyDescent="0.3">
      <c r="A29" s="354"/>
      <c r="B29" s="354"/>
      <c r="C29" s="28"/>
      <c r="D29" s="7"/>
      <c r="E29" s="16"/>
      <c r="F29" s="16"/>
      <c r="G29" s="7"/>
      <c r="H29" s="16"/>
      <c r="I29" s="16"/>
      <c r="J29" s="7"/>
      <c r="K29" s="7"/>
      <c r="L29" s="7"/>
      <c r="M29" s="7"/>
      <c r="N29" s="7"/>
      <c r="O29" s="7"/>
      <c r="P29" s="251"/>
      <c r="Q29" s="16"/>
      <c r="R29" s="24"/>
      <c r="S29" s="16"/>
      <c r="T29" s="16"/>
      <c r="U29" s="7"/>
      <c r="V29" s="7"/>
      <c r="W29" s="7"/>
      <c r="X29" s="13"/>
      <c r="Y29" s="13"/>
      <c r="Z29" s="13"/>
      <c r="AA29" s="13"/>
      <c r="AB29" s="13"/>
      <c r="AC29" s="13"/>
      <c r="AD29" s="14"/>
    </row>
    <row r="30" spans="1:30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E22</f>
        <v>3687229</v>
      </c>
      <c r="F30" s="6" t="s">
        <v>55</v>
      </c>
      <c r="G30" s="5" t="s">
        <v>22</v>
      </c>
      <c r="H30" s="6">
        <v>3966685.7181558209</v>
      </c>
      <c r="I30" s="6" t="s">
        <v>23</v>
      </c>
      <c r="J30" s="7"/>
      <c r="K30" s="7"/>
      <c r="L30" s="7"/>
      <c r="M30" s="7"/>
      <c r="N30" s="7"/>
      <c r="O30" s="8" t="s">
        <v>24</v>
      </c>
      <c r="P30" s="250">
        <f>($H$30*$O$60)*P53</f>
        <v>17.804389512228042</v>
      </c>
      <c r="Q30" s="9" t="s">
        <v>25</v>
      </c>
      <c r="R30" s="17" t="s">
        <v>54</v>
      </c>
      <c r="S30" s="6">
        <f>E30</f>
        <v>3687229</v>
      </c>
      <c r="T30" s="6" t="s">
        <v>55</v>
      </c>
      <c r="U30" s="7"/>
      <c r="V30" s="7"/>
      <c r="W30" s="7"/>
      <c r="X30" s="13"/>
      <c r="Y30" s="13"/>
      <c r="Z30" s="13"/>
      <c r="AA30" s="13"/>
      <c r="AB30" s="13"/>
      <c r="AC30" s="13"/>
      <c r="AD30" s="14"/>
    </row>
    <row r="31" spans="1:30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7" t="s">
        <v>29</v>
      </c>
      <c r="P31" s="250">
        <f>($H$30*$O$60)*P54</f>
        <v>270.7443883510096</v>
      </c>
      <c r="Q31" s="18" t="s">
        <v>30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 t="s">
        <v>31</v>
      </c>
      <c r="P32" s="250">
        <f>($H$30*$O$60)*P56</f>
        <v>10581.530821752467</v>
      </c>
      <c r="Q32" s="18" t="s">
        <v>32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1:30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</row>
    <row r="35" spans="1:30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1:30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1:30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1:30" ht="14.25" customHeight="1" x14ac:dyDescent="0.3">
      <c r="A38" s="357"/>
      <c r="B38" s="357"/>
      <c r="C38" s="266" t="s">
        <v>64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14"/>
    </row>
    <row r="39" spans="1:30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18">
        <f>E22</f>
        <v>3687229</v>
      </c>
      <c r="F39" s="18" t="s">
        <v>55</v>
      </c>
      <c r="G39" s="270" t="s">
        <v>22</v>
      </c>
      <c r="H39" s="271">
        <v>1923081.7777777778</v>
      </c>
      <c r="I39" s="18" t="s">
        <v>23</v>
      </c>
      <c r="J39" s="269"/>
      <c r="K39" s="269"/>
      <c r="L39" s="269"/>
      <c r="M39" s="277">
        <v>80884</v>
      </c>
      <c r="N39" s="277" t="s">
        <v>35</v>
      </c>
      <c r="O39" s="277" t="s">
        <v>29</v>
      </c>
      <c r="P39" s="277">
        <v>1511.4085272</v>
      </c>
      <c r="Q39" s="278" t="s">
        <v>30</v>
      </c>
      <c r="R39" s="17" t="s">
        <v>54</v>
      </c>
      <c r="S39" s="18">
        <f>E39</f>
        <v>3687229</v>
      </c>
      <c r="T39" s="279" t="s">
        <v>55</v>
      </c>
      <c r="U39" s="269"/>
      <c r="V39" s="269"/>
      <c r="W39" s="269"/>
      <c r="X39" s="277" t="s">
        <v>284</v>
      </c>
      <c r="Y39" s="277">
        <v>80884</v>
      </c>
      <c r="Z39" s="277" t="s">
        <v>35</v>
      </c>
      <c r="AA39" s="269"/>
      <c r="AB39" s="269"/>
      <c r="AC39" s="269"/>
      <c r="AD39" s="265"/>
    </row>
    <row r="40" spans="1:30" s="264" customFormat="1" ht="14.25" customHeight="1" x14ac:dyDescent="0.3">
      <c r="A40" s="347"/>
      <c r="B40" s="350"/>
      <c r="C40" s="268"/>
      <c r="D40" s="284" t="s">
        <v>156</v>
      </c>
      <c r="E40" s="272">
        <v>9.3671058918873431</v>
      </c>
      <c r="F40" s="18" t="s">
        <v>55</v>
      </c>
      <c r="G40" s="270" t="s">
        <v>273</v>
      </c>
      <c r="H40" s="271">
        <v>240385.22222222222</v>
      </c>
      <c r="I40" s="18" t="s">
        <v>23</v>
      </c>
      <c r="J40" s="269"/>
      <c r="K40" s="269"/>
      <c r="L40" s="269"/>
      <c r="M40" s="269"/>
      <c r="N40" s="269"/>
      <c r="O40" s="277" t="s">
        <v>31</v>
      </c>
      <c r="P40" s="277">
        <v>1045.0494288</v>
      </c>
      <c r="Q40" s="278" t="s">
        <v>32</v>
      </c>
      <c r="R40" s="269"/>
      <c r="S40" s="269"/>
      <c r="T40" s="280"/>
      <c r="U40" s="282" t="s">
        <v>195</v>
      </c>
      <c r="V40" s="277">
        <v>9.3205033750122812</v>
      </c>
      <c r="W40" s="18" t="s">
        <v>55</v>
      </c>
      <c r="X40" s="269"/>
      <c r="Y40" s="269"/>
      <c r="Z40" s="269"/>
      <c r="AA40" s="269"/>
      <c r="AB40" s="269"/>
      <c r="AC40" s="269"/>
      <c r="AD40" s="265"/>
    </row>
    <row r="41" spans="1:30" s="264" customFormat="1" ht="14.25" customHeight="1" x14ac:dyDescent="0.3">
      <c r="A41" s="347"/>
      <c r="B41" s="350"/>
      <c r="C41" s="268"/>
      <c r="D41" s="284" t="s">
        <v>274</v>
      </c>
      <c r="E41" s="272">
        <v>0.20987664716035873</v>
      </c>
      <c r="F41" s="18" t="s">
        <v>55</v>
      </c>
      <c r="G41" s="281"/>
      <c r="H41" s="281"/>
      <c r="I41" s="281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80"/>
      <c r="U41" s="282" t="s">
        <v>275</v>
      </c>
      <c r="V41" s="277">
        <v>0.29333333333333333</v>
      </c>
      <c r="W41" s="18" t="s">
        <v>55</v>
      </c>
      <c r="X41" s="269"/>
      <c r="Y41" s="269"/>
      <c r="Z41" s="269"/>
      <c r="AA41" s="269"/>
      <c r="AB41" s="269"/>
      <c r="AC41" s="269"/>
      <c r="AD41" s="265"/>
    </row>
    <row r="42" spans="1:30" s="264" customFormat="1" ht="14.25" customHeight="1" x14ac:dyDescent="0.3">
      <c r="A42" s="347"/>
      <c r="B42" s="350"/>
      <c r="C42" s="268"/>
      <c r="D42" s="284" t="s">
        <v>126</v>
      </c>
      <c r="E42" s="272">
        <v>0.222451900812529</v>
      </c>
      <c r="F42" s="18" t="s">
        <v>55</v>
      </c>
      <c r="G42" s="281"/>
      <c r="H42" s="281"/>
      <c r="I42" s="281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80"/>
      <c r="U42" s="282" t="s">
        <v>276</v>
      </c>
      <c r="V42" s="277">
        <v>5.3333333333333339</v>
      </c>
      <c r="W42" s="18" t="s">
        <v>55</v>
      </c>
      <c r="X42" s="269"/>
      <c r="Y42" s="269"/>
      <c r="Z42" s="269"/>
      <c r="AA42" s="269"/>
      <c r="AB42" s="269"/>
      <c r="AC42" s="269"/>
      <c r="AD42" s="265"/>
    </row>
    <row r="43" spans="1:30" s="264" customFormat="1" ht="14.25" customHeight="1" x14ac:dyDescent="0.3">
      <c r="A43" s="347"/>
      <c r="B43" s="350"/>
      <c r="C43" s="268"/>
      <c r="D43" s="284" t="s">
        <v>127</v>
      </c>
      <c r="E43" s="272">
        <v>7.1187499122917816E-2</v>
      </c>
      <c r="F43" s="18" t="s">
        <v>55</v>
      </c>
      <c r="G43" s="281"/>
      <c r="H43" s="281"/>
      <c r="I43" s="281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80"/>
      <c r="U43" s="282" t="s">
        <v>277</v>
      </c>
      <c r="V43" s="277">
        <v>0.20987664716035873</v>
      </c>
      <c r="W43" s="18" t="s">
        <v>55</v>
      </c>
      <c r="X43" s="269"/>
      <c r="Y43" s="269"/>
      <c r="Z43" s="269"/>
      <c r="AA43" s="269"/>
      <c r="AB43" s="269"/>
      <c r="AC43" s="269"/>
      <c r="AD43" s="265"/>
    </row>
    <row r="44" spans="1:30" s="264" customFormat="1" ht="14.25" customHeight="1" x14ac:dyDescent="0.3">
      <c r="A44" s="347"/>
      <c r="B44" s="350"/>
      <c r="C44" s="268"/>
      <c r="D44" s="284" t="s">
        <v>128</v>
      </c>
      <c r="E44" s="272">
        <v>13.606666666666666</v>
      </c>
      <c r="F44" s="18" t="s">
        <v>55</v>
      </c>
      <c r="G44" s="281"/>
      <c r="H44" s="281"/>
      <c r="I44" s="281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80"/>
      <c r="U44" s="282" t="s">
        <v>278</v>
      </c>
      <c r="V44" s="277">
        <v>0.222451900812529</v>
      </c>
      <c r="W44" s="18" t="s">
        <v>55</v>
      </c>
      <c r="X44" s="269"/>
      <c r="Y44" s="269"/>
      <c r="Z44" s="269"/>
      <c r="AA44" s="269"/>
      <c r="AB44" s="269"/>
      <c r="AC44" s="269"/>
      <c r="AD44" s="265"/>
    </row>
    <row r="45" spans="1:30" s="264" customFormat="1" ht="14.25" customHeight="1" x14ac:dyDescent="0.3">
      <c r="A45" s="347"/>
      <c r="B45" s="350"/>
      <c r="C45" s="268"/>
      <c r="D45" s="269"/>
      <c r="E45" s="269"/>
      <c r="F45" s="269"/>
      <c r="G45" s="281"/>
      <c r="H45" s="281"/>
      <c r="I45" s="281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80"/>
      <c r="U45" s="282" t="s">
        <v>279</v>
      </c>
      <c r="V45" s="277">
        <v>7.1187499122917816E-2</v>
      </c>
      <c r="W45" s="18" t="s">
        <v>55</v>
      </c>
      <c r="X45" s="269"/>
      <c r="Y45" s="269"/>
      <c r="Z45" s="269"/>
      <c r="AA45" s="269"/>
      <c r="AB45" s="269"/>
      <c r="AC45" s="269"/>
      <c r="AD45" s="265"/>
    </row>
    <row r="46" spans="1:30" s="264" customFormat="1" ht="14.25" customHeight="1" x14ac:dyDescent="0.3">
      <c r="A46" s="347"/>
      <c r="B46" s="350"/>
      <c r="C46" s="268"/>
      <c r="D46" s="269"/>
      <c r="E46" s="269"/>
      <c r="F46" s="269"/>
      <c r="G46" s="273"/>
      <c r="H46" s="274"/>
      <c r="I46" s="275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80"/>
      <c r="U46" s="282" t="s">
        <v>280</v>
      </c>
      <c r="V46" s="277">
        <v>13.606666666666666</v>
      </c>
      <c r="W46" s="18" t="s">
        <v>55</v>
      </c>
      <c r="X46" s="269"/>
      <c r="Y46" s="269"/>
      <c r="Z46" s="269"/>
      <c r="AA46" s="269"/>
      <c r="AB46" s="269"/>
      <c r="AC46" s="269"/>
      <c r="AD46" s="265"/>
    </row>
    <row r="47" spans="1:30" s="264" customFormat="1" ht="14.25" customHeight="1" x14ac:dyDescent="0.3">
      <c r="A47" s="347"/>
      <c r="B47" s="350"/>
      <c r="C47" s="268"/>
      <c r="D47" s="269"/>
      <c r="E47" s="269"/>
      <c r="F47" s="269"/>
      <c r="G47" s="273"/>
      <c r="H47" s="276"/>
      <c r="I47" s="273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80"/>
      <c r="U47" s="282" t="s">
        <v>281</v>
      </c>
      <c r="V47" s="277">
        <v>1.1499999999999999</v>
      </c>
      <c r="W47" s="18" t="s">
        <v>55</v>
      </c>
      <c r="X47" s="269"/>
      <c r="Y47" s="269"/>
      <c r="Z47" s="269"/>
      <c r="AA47" s="269"/>
      <c r="AB47" s="269"/>
      <c r="AC47" s="269"/>
      <c r="AD47" s="265"/>
    </row>
    <row r="48" spans="1:30" s="264" customFormat="1" ht="14.25" customHeight="1" x14ac:dyDescent="0.3">
      <c r="A48" s="347"/>
      <c r="B48" s="350"/>
      <c r="C48" s="268"/>
      <c r="D48" s="269"/>
      <c r="E48" s="269"/>
      <c r="F48" s="269"/>
      <c r="G48" s="273"/>
      <c r="H48" s="276"/>
      <c r="I48" s="273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80"/>
      <c r="U48" s="282" t="s">
        <v>282</v>
      </c>
      <c r="V48" s="277">
        <v>3.4039910748116034E-2</v>
      </c>
      <c r="W48" s="18" t="s">
        <v>55</v>
      </c>
      <c r="X48" s="269"/>
      <c r="Y48" s="269"/>
      <c r="Z48" s="269"/>
      <c r="AA48" s="269"/>
      <c r="AB48" s="269"/>
      <c r="AC48" s="269"/>
      <c r="AD48" s="265"/>
    </row>
    <row r="49" spans="1:30" s="264" customFormat="1" ht="14.25" customHeight="1" x14ac:dyDescent="0.3">
      <c r="A49" s="348"/>
      <c r="B49" s="351"/>
      <c r="C49" s="268"/>
      <c r="D49" s="269"/>
      <c r="E49" s="269"/>
      <c r="F49" s="269"/>
      <c r="G49" s="273"/>
      <c r="H49" s="276"/>
      <c r="I49" s="273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80"/>
      <c r="U49" s="269"/>
      <c r="V49" s="269"/>
      <c r="W49" s="269"/>
      <c r="X49" s="269"/>
      <c r="Y49" s="269"/>
      <c r="Z49" s="269"/>
      <c r="AA49" s="269"/>
      <c r="AB49" s="269"/>
      <c r="AC49" s="269"/>
      <c r="AD49" s="265"/>
    </row>
    <row r="50" spans="1:30" ht="14.25" customHeight="1" x14ac:dyDescent="0.3"/>
    <row r="51" spans="1:30" ht="14.25" customHeight="1" x14ac:dyDescent="0.3">
      <c r="B51" s="31" t="s">
        <v>65</v>
      </c>
      <c r="C51" s="32">
        <v>3687229</v>
      </c>
      <c r="D51" s="32" t="s">
        <v>55</v>
      </c>
      <c r="H51" s="33"/>
      <c r="O51" s="370" t="s">
        <v>66</v>
      </c>
      <c r="P51" s="371"/>
      <c r="Q51" s="371"/>
      <c r="R51" s="371"/>
      <c r="S51" s="371"/>
      <c r="T51" s="372"/>
    </row>
    <row r="52" spans="1:30" ht="14.25" customHeight="1" x14ac:dyDescent="0.3">
      <c r="H52" s="33"/>
      <c r="O52" s="34" t="s">
        <v>67</v>
      </c>
      <c r="P52" s="35" t="s">
        <v>68</v>
      </c>
      <c r="Q52" s="35" t="s">
        <v>8</v>
      </c>
      <c r="R52" s="370" t="s">
        <v>69</v>
      </c>
      <c r="S52" s="371"/>
      <c r="T52" s="372"/>
    </row>
    <row r="53" spans="1:30" ht="14.25" customHeight="1" x14ac:dyDescent="0.3">
      <c r="H53" s="33"/>
      <c r="O53" s="36" t="s">
        <v>70</v>
      </c>
      <c r="P53" s="37">
        <v>0.12468</v>
      </c>
      <c r="Q53" s="36" t="s">
        <v>71</v>
      </c>
      <c r="R53" s="363" t="s">
        <v>72</v>
      </c>
      <c r="S53" s="364"/>
      <c r="T53" s="365"/>
    </row>
    <row r="54" spans="1:30" ht="14.25" customHeight="1" x14ac:dyDescent="0.3">
      <c r="O54" s="36" t="s">
        <v>73</v>
      </c>
      <c r="P54" s="37">
        <v>1.8959600000000001</v>
      </c>
      <c r="Q54" s="36" t="s">
        <v>74</v>
      </c>
      <c r="R54" s="366"/>
      <c r="S54" s="367"/>
      <c r="T54" s="368"/>
    </row>
    <row r="55" spans="1:30" ht="14.25" customHeight="1" x14ac:dyDescent="0.3">
      <c r="O55" s="38" t="s">
        <v>75</v>
      </c>
      <c r="P55" s="39">
        <v>0.13328000000000001</v>
      </c>
      <c r="Q55" s="38" t="s">
        <v>76</v>
      </c>
      <c r="R55" s="369"/>
      <c r="S55" s="360"/>
      <c r="T55" s="361"/>
    </row>
    <row r="56" spans="1:30" ht="14.25" customHeight="1" x14ac:dyDescent="0.3">
      <c r="O56" s="36" t="s">
        <v>31</v>
      </c>
      <c r="P56" s="37">
        <v>74.099999999999994</v>
      </c>
      <c r="Q56" s="36" t="s">
        <v>77</v>
      </c>
      <c r="R56" s="363" t="s">
        <v>78</v>
      </c>
      <c r="S56" s="364"/>
      <c r="T56" s="365"/>
    </row>
    <row r="57" spans="1:30" ht="14.25" customHeight="1" x14ac:dyDescent="0.3">
      <c r="O57" s="38" t="s">
        <v>79</v>
      </c>
      <c r="P57" s="39">
        <v>3.0000000000000001E-3</v>
      </c>
      <c r="Q57" s="38" t="s">
        <v>80</v>
      </c>
      <c r="R57" s="366"/>
      <c r="S57" s="367"/>
      <c r="T57" s="368"/>
    </row>
    <row r="58" spans="1:30" ht="14.25" customHeight="1" x14ac:dyDescent="0.3">
      <c r="O58" s="38" t="s">
        <v>81</v>
      </c>
      <c r="P58" s="39">
        <v>5.9999999999999995E-4</v>
      </c>
      <c r="Q58" s="38" t="s">
        <v>82</v>
      </c>
      <c r="R58" s="369"/>
      <c r="S58" s="360"/>
      <c r="T58" s="361"/>
    </row>
    <row r="59" spans="1:30" ht="14.25" customHeight="1" x14ac:dyDescent="0.35">
      <c r="O59" s="34" t="s">
        <v>83</v>
      </c>
      <c r="P59" s="35" t="s">
        <v>8</v>
      </c>
      <c r="Q59" s="40"/>
      <c r="R59" s="359"/>
      <c r="S59" s="360"/>
      <c r="T59" s="361"/>
    </row>
    <row r="60" spans="1:30" ht="14.25" customHeight="1" x14ac:dyDescent="0.35">
      <c r="O60" s="41">
        <f>36*10^-6</f>
        <v>3.6000000000000001E-5</v>
      </c>
      <c r="P60" s="37" t="s">
        <v>84</v>
      </c>
      <c r="Q60" s="40"/>
      <c r="R60" s="359"/>
      <c r="S60" s="360"/>
      <c r="T60" s="361"/>
    </row>
    <row r="61" spans="1:30" ht="14.25" customHeight="1" x14ac:dyDescent="0.3"/>
    <row r="62" spans="1:30" ht="14.25" customHeight="1" x14ac:dyDescent="0.3"/>
    <row r="63" spans="1:30" ht="14.25" customHeight="1" x14ac:dyDescent="0.3"/>
    <row r="64" spans="1:30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53">
    <mergeCell ref="E2:E3"/>
    <mergeCell ref="F2:F3"/>
    <mergeCell ref="A8:A11"/>
    <mergeCell ref="B8:B11"/>
    <mergeCell ref="B12:B17"/>
    <mergeCell ref="A4:A7"/>
    <mergeCell ref="B4:B7"/>
    <mergeCell ref="Y2:Y3"/>
    <mergeCell ref="Z2:Z3"/>
    <mergeCell ref="AA2:AA3"/>
    <mergeCell ref="Q2:Q3"/>
    <mergeCell ref="R2:R3"/>
    <mergeCell ref="U2:U3"/>
    <mergeCell ref="M2:N2"/>
    <mergeCell ref="AB2:AB3"/>
    <mergeCell ref="AC2:AC3"/>
    <mergeCell ref="AD1:AD3"/>
    <mergeCell ref="D2:D3"/>
    <mergeCell ref="G2:G3"/>
    <mergeCell ref="H2:H3"/>
    <mergeCell ref="I2:I3"/>
    <mergeCell ref="J2:J3"/>
    <mergeCell ref="K2:K3"/>
    <mergeCell ref="V2:V3"/>
    <mergeCell ref="W2:W3"/>
    <mergeCell ref="X2:X3"/>
    <mergeCell ref="D1:N1"/>
    <mergeCell ref="O1:AC1"/>
    <mergeCell ref="L2:L3"/>
    <mergeCell ref="R60:T60"/>
    <mergeCell ref="T2:T3"/>
    <mergeCell ref="R53:T55"/>
    <mergeCell ref="R56:T58"/>
    <mergeCell ref="R59:T59"/>
    <mergeCell ref="O51:T51"/>
    <mergeCell ref="R52:T52"/>
    <mergeCell ref="O2:O3"/>
    <mergeCell ref="S2:S3"/>
    <mergeCell ref="P2:P3"/>
    <mergeCell ref="A39:A49"/>
    <mergeCell ref="B39:B49"/>
    <mergeCell ref="A1:A3"/>
    <mergeCell ref="B1:B3"/>
    <mergeCell ref="C1:C3"/>
    <mergeCell ref="A30:A38"/>
    <mergeCell ref="B30:B38"/>
    <mergeCell ref="A12:A17"/>
    <mergeCell ref="A26:A29"/>
    <mergeCell ref="B26:B29"/>
    <mergeCell ref="A18:A21"/>
    <mergeCell ref="B18:B21"/>
    <mergeCell ref="A22:A25"/>
    <mergeCell ref="B22:B25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D1015"/>
  <sheetViews>
    <sheetView tabSelected="1" topLeftCell="C1" zoomScale="70" zoomScaleNormal="70" workbookViewId="0">
      <selection activeCell="J22" sqref="J22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customWidth="1"/>
    <col min="4" max="4" width="23.25" customWidth="1"/>
    <col min="5" max="5" width="12.08203125" customWidth="1"/>
    <col min="6" max="6" width="10.08203125" customWidth="1"/>
    <col min="7" max="7" width="13.25" customWidth="1"/>
    <col min="8" max="8" width="12.08203125" customWidth="1"/>
    <col min="9" max="9" width="9.08203125" customWidth="1"/>
    <col min="10" max="10" width="16.83203125" customWidth="1"/>
    <col min="11" max="11" width="11.58203125" customWidth="1"/>
    <col min="12" max="12" width="11" customWidth="1"/>
    <col min="13" max="13" width="11.5" customWidth="1"/>
    <col min="14" max="14" width="7.58203125" customWidth="1"/>
    <col min="15" max="15" width="11.58203125" customWidth="1"/>
    <col min="16" max="16" width="13.58203125" customWidth="1"/>
    <col min="17" max="17" width="12.33203125" customWidth="1"/>
    <col min="18" max="18" width="22.58203125" customWidth="1"/>
    <col min="19" max="19" width="14.08203125" customWidth="1"/>
    <col min="20" max="20" width="10.33203125" customWidth="1"/>
    <col min="21" max="21" width="10" customWidth="1"/>
    <col min="22" max="22" width="9.1640625" customWidth="1"/>
    <col min="23" max="23" width="7.58203125" customWidth="1"/>
    <col min="24" max="24" width="10.83203125" customWidth="1"/>
    <col min="25" max="25" width="8.58203125" bestFit="1" customWidth="1"/>
    <col min="26" max="26" width="7.58203125" customWidth="1"/>
    <col min="27" max="27" width="14.33203125" customWidth="1"/>
    <col min="28" max="29" width="7.58203125" customWidth="1"/>
    <col min="30" max="30" width="22" customWidth="1"/>
  </cols>
  <sheetData>
    <row r="1" spans="1:30" ht="14.25" customHeight="1" x14ac:dyDescent="0.3">
      <c r="A1" s="352" t="s">
        <v>0</v>
      </c>
      <c r="B1" s="352" t="s">
        <v>1</v>
      </c>
      <c r="C1" s="355" t="s">
        <v>2</v>
      </c>
      <c r="D1" s="376" t="s">
        <v>3</v>
      </c>
      <c r="E1" s="371"/>
      <c r="F1" s="371"/>
      <c r="G1" s="371"/>
      <c r="H1" s="371"/>
      <c r="I1" s="371"/>
      <c r="J1" s="371"/>
      <c r="K1" s="371"/>
      <c r="L1" s="371"/>
      <c r="M1" s="371"/>
      <c r="N1" s="372"/>
      <c r="O1" s="377" t="s">
        <v>4</v>
      </c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2"/>
      <c r="AD1" s="374" t="s">
        <v>5</v>
      </c>
    </row>
    <row r="2" spans="1:30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9</v>
      </c>
      <c r="H2" s="375" t="s">
        <v>7</v>
      </c>
      <c r="I2" s="375" t="s">
        <v>8</v>
      </c>
      <c r="J2" s="375" t="s">
        <v>10</v>
      </c>
      <c r="K2" s="375" t="s">
        <v>7</v>
      </c>
      <c r="L2" s="375" t="s">
        <v>8</v>
      </c>
      <c r="M2" s="373" t="s">
        <v>11</v>
      </c>
      <c r="N2" s="372"/>
      <c r="O2" s="362" t="s">
        <v>12</v>
      </c>
      <c r="P2" s="362" t="s">
        <v>7</v>
      </c>
      <c r="Q2" s="362" t="s">
        <v>8</v>
      </c>
      <c r="R2" s="362" t="s">
        <v>13</v>
      </c>
      <c r="S2" s="362" t="s">
        <v>7</v>
      </c>
      <c r="T2" s="362" t="s">
        <v>8</v>
      </c>
      <c r="U2" s="362" t="s">
        <v>14</v>
      </c>
      <c r="V2" s="362" t="s">
        <v>7</v>
      </c>
      <c r="W2" s="362" t="s">
        <v>8</v>
      </c>
      <c r="X2" s="362" t="s">
        <v>15</v>
      </c>
      <c r="Y2" s="362" t="s">
        <v>7</v>
      </c>
      <c r="Z2" s="362" t="s">
        <v>8</v>
      </c>
      <c r="AA2" s="362" t="s">
        <v>16</v>
      </c>
      <c r="AB2" s="362" t="s">
        <v>7</v>
      </c>
      <c r="AC2" s="362" t="s">
        <v>8</v>
      </c>
      <c r="AD2" s="353"/>
    </row>
    <row r="3" spans="1:30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1" t="s">
        <v>17</v>
      </c>
      <c r="N3" s="1" t="s">
        <v>8</v>
      </c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</row>
    <row r="4" spans="1:30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2">
        <f>Inventori!E4/Inventori!C51</f>
        <v>9.0327994274291078E-5</v>
      </c>
      <c r="F4" s="4" t="s">
        <v>199</v>
      </c>
      <c r="G4" s="5" t="s">
        <v>22</v>
      </c>
      <c r="H4" s="43">
        <f>(Inventori!H4/Inventori!C51)*0.88</f>
        <v>5.2029606346859013E-2</v>
      </c>
      <c r="I4" s="6" t="s">
        <v>203</v>
      </c>
      <c r="J4" s="7"/>
      <c r="K4" s="7"/>
      <c r="L4" s="7"/>
      <c r="M4" s="7"/>
      <c r="N4" s="7"/>
      <c r="O4" s="8" t="s">
        <v>24</v>
      </c>
      <c r="P4" s="44">
        <f>(Inventori!P4/Inventori!C51)*1000</f>
        <v>2.6537937215426107E-4</v>
      </c>
      <c r="Q4" s="9" t="s">
        <v>205</v>
      </c>
      <c r="R4" s="10" t="s">
        <v>26</v>
      </c>
      <c r="S4" s="42">
        <f>Inventori!S4/Inventori!C51</f>
        <v>6.4818322919460664E-5</v>
      </c>
      <c r="T4" s="11" t="s">
        <v>208</v>
      </c>
      <c r="U4" s="12"/>
      <c r="V4" s="12"/>
      <c r="W4" s="12"/>
      <c r="X4" s="13"/>
      <c r="Y4" s="13"/>
      <c r="Z4" s="13"/>
      <c r="AA4" s="13"/>
      <c r="AB4" s="13"/>
      <c r="AC4" s="13"/>
      <c r="AD4" s="14"/>
    </row>
    <row r="5" spans="1:30" ht="14.25" customHeight="1" x14ac:dyDescent="0.3">
      <c r="A5" s="353"/>
      <c r="B5" s="353"/>
      <c r="C5" s="15" t="s">
        <v>28</v>
      </c>
      <c r="D5" s="7"/>
      <c r="E5" s="45"/>
      <c r="F5" s="16"/>
      <c r="G5" s="7"/>
      <c r="H5" s="45"/>
      <c r="I5" s="16"/>
      <c r="J5" s="7"/>
      <c r="K5" s="7"/>
      <c r="L5" s="7"/>
      <c r="M5" s="7"/>
      <c r="N5" s="7"/>
      <c r="O5" s="17" t="s">
        <v>29</v>
      </c>
      <c r="P5" s="44">
        <f>Inventori!P5/Inventori!C51*1000</f>
        <v>4.0355203274750791E-3</v>
      </c>
      <c r="Q5" s="18" t="s">
        <v>206</v>
      </c>
      <c r="R5" s="7"/>
      <c r="S5" s="16"/>
      <c r="T5" s="7"/>
      <c r="U5" s="7"/>
      <c r="V5" s="7"/>
      <c r="W5" s="7"/>
      <c r="X5" s="13"/>
      <c r="Y5" s="13"/>
      <c r="Z5" s="13"/>
      <c r="AA5" s="13"/>
      <c r="AB5" s="13"/>
      <c r="AC5" s="13"/>
      <c r="AD5" s="14"/>
    </row>
    <row r="6" spans="1:30" ht="14.25" customHeight="1" x14ac:dyDescent="0.3">
      <c r="A6" s="353"/>
      <c r="B6" s="353"/>
      <c r="C6" s="15"/>
      <c r="D6" s="7"/>
      <c r="E6" s="45"/>
      <c r="F6" s="16"/>
      <c r="G6" s="7"/>
      <c r="H6" s="45"/>
      <c r="I6" s="16"/>
      <c r="J6" s="7"/>
      <c r="K6" s="7"/>
      <c r="L6" s="7"/>
      <c r="M6" s="7"/>
      <c r="N6" s="7"/>
      <c r="O6" s="17" t="s">
        <v>31</v>
      </c>
      <c r="P6" s="44">
        <f>Inventori!P6/Inventori!C51*1000</f>
        <v>0.15772065669418306</v>
      </c>
      <c r="Q6" s="18" t="s">
        <v>207</v>
      </c>
      <c r="R6" s="7"/>
      <c r="S6" s="16"/>
      <c r="T6" s="7"/>
      <c r="U6" s="7"/>
      <c r="V6" s="7"/>
      <c r="W6" s="7"/>
      <c r="X6" s="13"/>
      <c r="Y6" s="13"/>
      <c r="Z6" s="13"/>
      <c r="AA6" s="13"/>
      <c r="AB6" s="13"/>
      <c r="AC6" s="13"/>
      <c r="AD6" s="14"/>
    </row>
    <row r="7" spans="1:30" ht="14.25" customHeight="1" x14ac:dyDescent="0.3">
      <c r="A7" s="354"/>
      <c r="B7" s="354"/>
      <c r="C7" s="15"/>
      <c r="D7" s="7"/>
      <c r="E7" s="45"/>
      <c r="F7" s="16"/>
      <c r="G7" s="7"/>
      <c r="H7" s="45"/>
      <c r="I7" s="16"/>
      <c r="J7" s="7"/>
      <c r="K7" s="7"/>
      <c r="L7" s="7"/>
      <c r="M7" s="7"/>
      <c r="N7" s="7"/>
      <c r="O7" s="7"/>
      <c r="P7" s="46"/>
      <c r="Q7" s="16"/>
      <c r="R7" s="7"/>
      <c r="S7" s="16"/>
      <c r="T7" s="7"/>
      <c r="U7" s="7"/>
      <c r="V7" s="7"/>
      <c r="W7" s="7"/>
      <c r="X7" s="13"/>
      <c r="Y7" s="13"/>
      <c r="Z7" s="13"/>
      <c r="AA7" s="13"/>
      <c r="AB7" s="13"/>
      <c r="AC7" s="13"/>
      <c r="AD7" s="14"/>
    </row>
    <row r="8" spans="1:30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43">
        <f>Inventori!E8/Inventori!C51</f>
        <v>0.26383552526843329</v>
      </c>
      <c r="F8" s="18" t="s">
        <v>200</v>
      </c>
      <c r="G8" s="5" t="s">
        <v>22</v>
      </c>
      <c r="H8" s="43">
        <f>(Inventori!H8/Inventori!C51)*0.88</f>
        <v>0.36838263291716555</v>
      </c>
      <c r="I8" s="18" t="s">
        <v>203</v>
      </c>
      <c r="J8" s="7"/>
      <c r="K8" s="7"/>
      <c r="L8" s="7"/>
      <c r="M8" s="7"/>
      <c r="N8" s="7"/>
      <c r="O8" s="8" t="s">
        <v>24</v>
      </c>
      <c r="P8" s="44">
        <f>Inventori!P8/Inventori!C51*1000</f>
        <v>1.8789523638591357E-3</v>
      </c>
      <c r="Q8" s="20" t="s">
        <v>205</v>
      </c>
      <c r="R8" s="19" t="s">
        <v>34</v>
      </c>
      <c r="S8" s="43">
        <f>E8</f>
        <v>0.26383552526843329</v>
      </c>
      <c r="T8" s="20" t="s">
        <v>200</v>
      </c>
      <c r="U8" s="7"/>
      <c r="V8" s="7"/>
      <c r="W8" s="7"/>
      <c r="X8" s="13"/>
      <c r="Y8" s="13"/>
      <c r="Z8" s="13"/>
      <c r="AA8" s="13"/>
      <c r="AB8" s="13"/>
      <c r="AC8" s="13"/>
      <c r="AD8" s="14"/>
    </row>
    <row r="9" spans="1:30" ht="14.25" customHeight="1" x14ac:dyDescent="0.3">
      <c r="A9" s="353"/>
      <c r="B9" s="353"/>
      <c r="C9" s="2" t="s">
        <v>36</v>
      </c>
      <c r="D9" s="7"/>
      <c r="E9" s="45"/>
      <c r="F9" s="16"/>
      <c r="G9" s="7"/>
      <c r="H9" s="45"/>
      <c r="I9" s="16"/>
      <c r="J9" s="7"/>
      <c r="K9" s="7"/>
      <c r="L9" s="7"/>
      <c r="M9" s="7"/>
      <c r="N9" s="7"/>
      <c r="O9" s="17" t="s">
        <v>29</v>
      </c>
      <c r="P9" s="44">
        <f>Inventori!P9/Inventori!C51*1000</f>
        <v>2.8572493774321198E-2</v>
      </c>
      <c r="Q9" s="18" t="s">
        <v>206</v>
      </c>
      <c r="R9" s="21"/>
      <c r="S9" s="16"/>
      <c r="T9" s="21"/>
      <c r="U9" s="7"/>
      <c r="V9" s="7"/>
      <c r="W9" s="7"/>
      <c r="X9" s="13"/>
      <c r="Y9" s="13"/>
      <c r="Z9" s="13"/>
      <c r="AA9" s="13"/>
      <c r="AB9" s="13"/>
      <c r="AC9" s="13"/>
      <c r="AD9" s="14"/>
    </row>
    <row r="10" spans="1:30" ht="14.25" customHeight="1" x14ac:dyDescent="0.3">
      <c r="A10" s="353"/>
      <c r="B10" s="353"/>
      <c r="C10" s="2"/>
      <c r="D10" s="7"/>
      <c r="E10" s="45"/>
      <c r="F10" s="16"/>
      <c r="G10" s="7"/>
      <c r="H10" s="45"/>
      <c r="I10" s="16"/>
      <c r="J10" s="7"/>
      <c r="K10" s="7"/>
      <c r="L10" s="7"/>
      <c r="M10" s="7"/>
      <c r="N10" s="7"/>
      <c r="O10" s="17" t="s">
        <v>31</v>
      </c>
      <c r="P10" s="44">
        <f>Inventori!P10/Inventori!C51*1000</f>
        <v>1.1167017176929894</v>
      </c>
      <c r="Q10" s="18" t="s">
        <v>207</v>
      </c>
      <c r="R10" s="21"/>
      <c r="S10" s="16"/>
      <c r="T10" s="21"/>
      <c r="U10" s="7"/>
      <c r="V10" s="7"/>
      <c r="W10" s="7"/>
      <c r="X10" s="13"/>
      <c r="Y10" s="13"/>
      <c r="Z10" s="13"/>
      <c r="AA10" s="13"/>
      <c r="AB10" s="13"/>
      <c r="AC10" s="13"/>
      <c r="AD10" s="14"/>
    </row>
    <row r="11" spans="1:30" ht="14.25" customHeight="1" x14ac:dyDescent="0.3">
      <c r="A11" s="354"/>
      <c r="B11" s="354"/>
      <c r="C11" s="2"/>
      <c r="D11" s="7"/>
      <c r="E11" s="45"/>
      <c r="F11" s="16"/>
      <c r="G11" s="7"/>
      <c r="H11" s="45"/>
      <c r="I11" s="16"/>
      <c r="J11" s="7"/>
      <c r="K11" s="7"/>
      <c r="L11" s="7"/>
      <c r="M11" s="7"/>
      <c r="N11" s="7"/>
      <c r="O11" s="21"/>
      <c r="P11" s="46"/>
      <c r="Q11" s="22"/>
      <c r="R11" s="21"/>
      <c r="S11" s="16"/>
      <c r="T11" s="21"/>
      <c r="U11" s="7"/>
      <c r="V11" s="7"/>
      <c r="W11" s="7"/>
      <c r="X11" s="13"/>
      <c r="Y11" s="13"/>
      <c r="Z11" s="13"/>
      <c r="AA11" s="13"/>
      <c r="AB11" s="13"/>
      <c r="AC11" s="13"/>
      <c r="AD11" s="14"/>
    </row>
    <row r="12" spans="1:30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47">
        <f>Inventori!E12/Inventori!C51</f>
        <v>24.839966543981944</v>
      </c>
      <c r="F12" s="23" t="s">
        <v>201</v>
      </c>
      <c r="G12" s="5" t="s">
        <v>22</v>
      </c>
      <c r="H12" s="43">
        <f>(Inventori!H12/Inventori!C51)*0.88</f>
        <v>8.9641777063480463E-2</v>
      </c>
      <c r="I12" s="18" t="s">
        <v>203</v>
      </c>
      <c r="J12" s="10" t="s">
        <v>41</v>
      </c>
      <c r="K12" s="48">
        <f>Inventori!K12/Inventori!C51</f>
        <v>2.5838915890496632E-2</v>
      </c>
      <c r="L12" s="6" t="s">
        <v>203</v>
      </c>
      <c r="M12" s="7"/>
      <c r="N12" s="7"/>
      <c r="O12" s="8" t="s">
        <v>24</v>
      </c>
      <c r="P12" s="44">
        <f>Inventori!P12/Inventori!C51*1000</f>
        <v>4.572219585385123E-4</v>
      </c>
      <c r="Q12" s="20" t="s">
        <v>205</v>
      </c>
      <c r="R12" s="19" t="s">
        <v>43</v>
      </c>
      <c r="S12" s="49">
        <f>Inventori!S12/Inventori!C51</f>
        <v>22.057890291055969</v>
      </c>
      <c r="T12" s="20" t="s">
        <v>201</v>
      </c>
      <c r="U12" s="7"/>
      <c r="V12" s="7"/>
      <c r="W12" s="7"/>
      <c r="X12" s="13"/>
      <c r="Y12" s="13"/>
      <c r="Z12" s="13"/>
      <c r="AA12" s="13"/>
      <c r="AB12" s="13"/>
      <c r="AC12" s="13"/>
      <c r="AD12" s="14"/>
    </row>
    <row r="13" spans="1:30" ht="14.25" customHeight="1" x14ac:dyDescent="0.3">
      <c r="A13" s="353"/>
      <c r="B13" s="353"/>
      <c r="C13" s="10"/>
      <c r="D13" s="7"/>
      <c r="E13" s="45"/>
      <c r="F13" s="16"/>
      <c r="G13" s="7"/>
      <c r="H13" s="45"/>
      <c r="I13" s="16"/>
      <c r="J13" s="10" t="s">
        <v>44</v>
      </c>
      <c r="K13" s="48">
        <f>Inventori!K13/Inventori!C51</f>
        <v>3.4478466078456207E-3</v>
      </c>
      <c r="L13" s="6" t="s">
        <v>203</v>
      </c>
      <c r="M13" s="7"/>
      <c r="N13" s="7"/>
      <c r="O13" s="17" t="s">
        <v>29</v>
      </c>
      <c r="P13" s="44">
        <f>Inventori!P13/Inventori!C51*1000</f>
        <v>6.9527955125976721E-3</v>
      </c>
      <c r="Q13" s="18" t="s">
        <v>206</v>
      </c>
      <c r="R13" s="7"/>
      <c r="S13" s="16"/>
      <c r="T13" s="7"/>
      <c r="U13" s="7"/>
      <c r="V13" s="7"/>
      <c r="W13" s="7"/>
      <c r="X13" s="13"/>
      <c r="Y13" s="13"/>
      <c r="Z13" s="13"/>
      <c r="AA13" s="13"/>
      <c r="AB13" s="13"/>
      <c r="AC13" s="13"/>
      <c r="AD13" s="14"/>
    </row>
    <row r="14" spans="1:30" ht="14.25" customHeight="1" x14ac:dyDescent="0.3">
      <c r="A14" s="353"/>
      <c r="B14" s="353"/>
      <c r="C14" s="10"/>
      <c r="D14" s="7"/>
      <c r="E14" s="45"/>
      <c r="F14" s="16"/>
      <c r="G14" s="7"/>
      <c r="H14" s="45"/>
      <c r="I14" s="16"/>
      <c r="J14" s="10" t="s">
        <v>45</v>
      </c>
      <c r="K14" s="48">
        <f>Inventori!K14/Inventori!C51</f>
        <v>0.71937191858710159</v>
      </c>
      <c r="L14" s="4" t="s">
        <v>203</v>
      </c>
      <c r="M14" s="7"/>
      <c r="N14" s="7"/>
      <c r="O14" s="17" t="s">
        <v>31</v>
      </c>
      <c r="P14" s="44">
        <f>Inventori!P14/Inventori!C51*1000</f>
        <v>0.27173682328925053</v>
      </c>
      <c r="Q14" s="18" t="s">
        <v>207</v>
      </c>
      <c r="R14" s="7"/>
      <c r="S14" s="16"/>
      <c r="T14" s="7"/>
      <c r="U14" s="7"/>
      <c r="V14" s="7"/>
      <c r="W14" s="7"/>
      <c r="X14" s="13"/>
      <c r="Y14" s="13"/>
      <c r="Z14" s="13"/>
      <c r="AA14" s="13"/>
      <c r="AB14" s="13"/>
      <c r="AC14" s="13"/>
      <c r="AD14" s="14"/>
    </row>
    <row r="15" spans="1:30" ht="14.25" customHeight="1" x14ac:dyDescent="0.3">
      <c r="A15" s="353"/>
      <c r="B15" s="353"/>
      <c r="C15" s="10"/>
      <c r="D15" s="7"/>
      <c r="E15" s="45"/>
      <c r="F15" s="16"/>
      <c r="G15" s="7"/>
      <c r="H15" s="45"/>
      <c r="I15" s="16"/>
      <c r="J15" s="10" t="s">
        <v>46</v>
      </c>
      <c r="K15" s="48">
        <f>Inventori!K15/Inventori!C51</f>
        <v>1.0797875586246475</v>
      </c>
      <c r="L15" s="4" t="s">
        <v>203</v>
      </c>
      <c r="M15" s="7"/>
      <c r="N15" s="7"/>
      <c r="O15" s="24"/>
      <c r="P15" s="16"/>
      <c r="Q15" s="25"/>
      <c r="R15" s="7"/>
      <c r="S15" s="16"/>
      <c r="T15" s="7"/>
      <c r="U15" s="7"/>
      <c r="V15" s="7"/>
      <c r="W15" s="7"/>
      <c r="X15" s="13"/>
      <c r="Y15" s="13"/>
      <c r="Z15" s="13"/>
      <c r="AA15" s="13"/>
      <c r="AB15" s="13"/>
      <c r="AC15" s="13"/>
      <c r="AD15" s="14"/>
    </row>
    <row r="16" spans="1:30" ht="14.25" customHeight="1" x14ac:dyDescent="0.3">
      <c r="A16" s="353"/>
      <c r="B16" s="353"/>
      <c r="C16" s="10"/>
      <c r="D16" s="7"/>
      <c r="E16" s="45"/>
      <c r="F16" s="16"/>
      <c r="G16" s="7"/>
      <c r="H16" s="45"/>
      <c r="I16" s="16"/>
      <c r="J16" s="3" t="s">
        <v>47</v>
      </c>
      <c r="K16" s="48">
        <f>Inventori!K16/Inventori!C51</f>
        <v>3.1853188397032023E-2</v>
      </c>
      <c r="L16" s="4" t="s">
        <v>204</v>
      </c>
      <c r="M16" s="7"/>
      <c r="N16" s="7"/>
      <c r="O16" s="24"/>
      <c r="P16" s="16"/>
      <c r="Q16" s="25"/>
      <c r="R16" s="7"/>
      <c r="S16" s="16"/>
      <c r="T16" s="7"/>
      <c r="U16" s="7"/>
      <c r="V16" s="7"/>
      <c r="W16" s="7"/>
      <c r="X16" s="13"/>
      <c r="Y16" s="13"/>
      <c r="Z16" s="13"/>
      <c r="AA16" s="13"/>
      <c r="AB16" s="13"/>
      <c r="AC16" s="13"/>
      <c r="AD16" s="14"/>
    </row>
    <row r="17" spans="1:30" ht="14.25" customHeight="1" x14ac:dyDescent="0.35">
      <c r="A17" s="354"/>
      <c r="B17" s="354"/>
      <c r="C17" s="10"/>
      <c r="D17" s="7"/>
      <c r="E17" s="45"/>
      <c r="F17" s="16"/>
      <c r="G17" s="7"/>
      <c r="H17" s="45"/>
      <c r="I17" s="16"/>
      <c r="J17" s="26"/>
      <c r="K17" s="26"/>
      <c r="L17" s="26"/>
      <c r="M17" s="7"/>
      <c r="N17" s="7"/>
      <c r="O17" s="7"/>
      <c r="P17" s="16"/>
      <c r="Q17" s="16"/>
      <c r="R17" s="7"/>
      <c r="S17" s="16"/>
      <c r="T17" s="7"/>
      <c r="U17" s="7"/>
      <c r="V17" s="7"/>
      <c r="W17" s="7"/>
      <c r="X17" s="13"/>
      <c r="Y17" s="13"/>
      <c r="Z17" s="13"/>
      <c r="AA17" s="13"/>
      <c r="AB17" s="13"/>
      <c r="AC17" s="13"/>
      <c r="AD17" s="14"/>
    </row>
    <row r="18" spans="1:30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43">
        <f>E12</f>
        <v>24.839966543981944</v>
      </c>
      <c r="F18" s="6" t="s">
        <v>201</v>
      </c>
      <c r="G18" s="3" t="s">
        <v>22</v>
      </c>
      <c r="H18" s="50">
        <f>(Inventori!H18/Inventori!C51)*0.88</f>
        <v>9.197851763478754</v>
      </c>
      <c r="I18" s="18" t="s">
        <v>203</v>
      </c>
      <c r="J18" s="7"/>
      <c r="K18" s="7"/>
      <c r="L18" s="7"/>
      <c r="M18" s="7"/>
      <c r="N18" s="7"/>
      <c r="O18" s="8" t="s">
        <v>24</v>
      </c>
      <c r="P18" s="44">
        <f>Inventori!P18/Inventori!C51*1000</f>
        <v>4.6914061003794451E-2</v>
      </c>
      <c r="Q18" s="20" t="s">
        <v>205</v>
      </c>
      <c r="R18" s="5" t="s">
        <v>50</v>
      </c>
      <c r="S18" s="43">
        <f>E18</f>
        <v>24.839966543981944</v>
      </c>
      <c r="T18" s="6" t="s">
        <v>201</v>
      </c>
      <c r="U18" s="7"/>
      <c r="V18" s="7"/>
      <c r="W18" s="7"/>
      <c r="X18" s="13"/>
      <c r="Y18" s="13"/>
      <c r="Z18" s="13"/>
      <c r="AA18" s="13"/>
      <c r="AB18" s="13"/>
      <c r="AC18" s="13"/>
      <c r="AD18" s="14"/>
    </row>
    <row r="19" spans="1:30" ht="14.25" customHeight="1" x14ac:dyDescent="0.3">
      <c r="A19" s="353"/>
      <c r="B19" s="353"/>
      <c r="C19" s="14" t="s">
        <v>51</v>
      </c>
      <c r="D19" s="7"/>
      <c r="E19" s="16"/>
      <c r="F19" s="16"/>
      <c r="G19" s="7"/>
      <c r="H19" s="45"/>
      <c r="I19" s="16"/>
      <c r="J19" s="7"/>
      <c r="K19" s="7"/>
      <c r="L19" s="7"/>
      <c r="M19" s="7"/>
      <c r="N19" s="7"/>
      <c r="O19" s="17" t="s">
        <v>29</v>
      </c>
      <c r="P19" s="44">
        <f>Inventori!P19/Inventori!C51*1000</f>
        <v>0.7134037784789391</v>
      </c>
      <c r="Q19" s="18" t="s">
        <v>206</v>
      </c>
      <c r="R19" s="7"/>
      <c r="S19" s="16"/>
      <c r="T19" s="7"/>
      <c r="U19" s="7"/>
      <c r="V19" s="7"/>
      <c r="W19" s="7"/>
      <c r="X19" s="13"/>
      <c r="Y19" s="13"/>
      <c r="Z19" s="13"/>
      <c r="AA19" s="13"/>
      <c r="AB19" s="13"/>
      <c r="AC19" s="13"/>
      <c r="AD19" s="14"/>
    </row>
    <row r="20" spans="1:30" ht="14.25" customHeight="1" x14ac:dyDescent="0.3">
      <c r="A20" s="353"/>
      <c r="B20" s="353"/>
      <c r="C20" s="14"/>
      <c r="D20" s="7"/>
      <c r="E20" s="16"/>
      <c r="F20" s="16"/>
      <c r="G20" s="7"/>
      <c r="H20" s="45"/>
      <c r="I20" s="16"/>
      <c r="J20" s="7"/>
      <c r="K20" s="7"/>
      <c r="L20" s="7"/>
      <c r="M20" s="7"/>
      <c r="N20" s="7"/>
      <c r="O20" s="17" t="s">
        <v>31</v>
      </c>
      <c r="P20" s="44">
        <f>Inventori!P20/Inventori!C51*1000</f>
        <v>27.882033368472637</v>
      </c>
      <c r="Q20" s="18" t="s">
        <v>207</v>
      </c>
      <c r="R20" s="7"/>
      <c r="S20" s="16"/>
      <c r="T20" s="7"/>
      <c r="U20" s="7"/>
      <c r="V20" s="7"/>
      <c r="W20" s="7"/>
      <c r="X20" s="13"/>
      <c r="Y20" s="13"/>
      <c r="Z20" s="13"/>
      <c r="AA20" s="13"/>
      <c r="AB20" s="13"/>
      <c r="AC20" s="13"/>
      <c r="AD20" s="14"/>
    </row>
    <row r="21" spans="1:30" ht="14.25" customHeight="1" x14ac:dyDescent="0.3">
      <c r="A21" s="354"/>
      <c r="B21" s="354"/>
      <c r="C21" s="14"/>
      <c r="D21" s="7"/>
      <c r="E21" s="16"/>
      <c r="F21" s="16"/>
      <c r="G21" s="7"/>
      <c r="H21" s="45"/>
      <c r="I21" s="16"/>
      <c r="J21" s="7"/>
      <c r="K21" s="7"/>
      <c r="L21" s="7"/>
      <c r="M21" s="7"/>
      <c r="N21" s="7"/>
      <c r="O21" s="7"/>
      <c r="P21" s="46"/>
      <c r="Q21" s="16"/>
      <c r="R21" s="7"/>
      <c r="S21" s="16"/>
      <c r="T21" s="7"/>
      <c r="U21" s="7"/>
      <c r="V21" s="7"/>
      <c r="W21" s="7"/>
      <c r="X21" s="13"/>
      <c r="Y21" s="13"/>
      <c r="Z21" s="13"/>
      <c r="AA21" s="13"/>
      <c r="AB21" s="13"/>
      <c r="AC21" s="13"/>
      <c r="AD21" s="14"/>
    </row>
    <row r="22" spans="1:30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f>Inventori!E22/Inventori!C51</f>
        <v>1</v>
      </c>
      <c r="F22" s="6" t="s">
        <v>202</v>
      </c>
      <c r="G22" s="3" t="s">
        <v>22</v>
      </c>
      <c r="H22" s="48">
        <f>(Inventori!H22/Inventori!C51)*0.88</f>
        <v>0.15524651167584114</v>
      </c>
      <c r="I22" s="18" t="s">
        <v>203</v>
      </c>
      <c r="J22" s="7"/>
      <c r="K22" s="7"/>
      <c r="L22" s="7"/>
      <c r="M22" s="7"/>
      <c r="N22" s="7"/>
      <c r="O22" s="8" t="s">
        <v>24</v>
      </c>
      <c r="P22" s="44">
        <f>Inventori!P22/Inventori!C51*1000</f>
        <v>7.9184188946224924E-4</v>
      </c>
      <c r="Q22" s="20" t="s">
        <v>205</v>
      </c>
      <c r="R22" s="17" t="s">
        <v>54</v>
      </c>
      <c r="S22" s="6">
        <f>E22</f>
        <v>1</v>
      </c>
      <c r="T22" s="6" t="s">
        <v>202</v>
      </c>
      <c r="U22" s="7"/>
      <c r="V22" s="7"/>
      <c r="W22" s="7"/>
      <c r="X22" s="13"/>
      <c r="Y22" s="13"/>
      <c r="Z22" s="13"/>
      <c r="AA22" s="13"/>
      <c r="AB22" s="13"/>
      <c r="AC22" s="13"/>
      <c r="AD22" s="14"/>
    </row>
    <row r="23" spans="1:30" ht="14.25" customHeight="1" x14ac:dyDescent="0.3">
      <c r="A23" s="353"/>
      <c r="B23" s="353"/>
      <c r="C23" s="28"/>
      <c r="D23" s="7"/>
      <c r="E23" s="16"/>
      <c r="F23" s="16"/>
      <c r="G23" s="7"/>
      <c r="H23" s="45"/>
      <c r="I23" s="16"/>
      <c r="J23" s="7"/>
      <c r="K23" s="7"/>
      <c r="L23" s="7"/>
      <c r="M23" s="7"/>
      <c r="N23" s="7"/>
      <c r="O23" s="17" t="s">
        <v>29</v>
      </c>
      <c r="P23" s="44">
        <f>Inventori!P23/Inventori!C51*1000</f>
        <v>1.2041229938601588E-2</v>
      </c>
      <c r="Q23" s="18" t="s">
        <v>206</v>
      </c>
      <c r="R23" s="24"/>
      <c r="S23" s="16"/>
      <c r="T23" s="16"/>
      <c r="U23" s="7"/>
      <c r="V23" s="7"/>
      <c r="W23" s="7"/>
      <c r="X23" s="13"/>
      <c r="Y23" s="13"/>
      <c r="Z23" s="13"/>
      <c r="AA23" s="13"/>
      <c r="AB23" s="13"/>
      <c r="AC23" s="13"/>
      <c r="AD23" s="14"/>
    </row>
    <row r="24" spans="1:30" ht="14.25" customHeight="1" x14ac:dyDescent="0.3">
      <c r="A24" s="353"/>
      <c r="B24" s="353"/>
      <c r="C24" s="28"/>
      <c r="D24" s="7"/>
      <c r="E24" s="16"/>
      <c r="F24" s="16"/>
      <c r="G24" s="7"/>
      <c r="H24" s="45"/>
      <c r="I24" s="16"/>
      <c r="J24" s="7"/>
      <c r="K24" s="7"/>
      <c r="L24" s="7"/>
      <c r="M24" s="7"/>
      <c r="N24" s="7"/>
      <c r="O24" s="17" t="s">
        <v>31</v>
      </c>
      <c r="P24" s="44">
        <f>Inventori!P24/Inventori!C51*1000</f>
        <v>0.47060863016644744</v>
      </c>
      <c r="Q24" s="18" t="s">
        <v>207</v>
      </c>
      <c r="R24" s="24"/>
      <c r="S24" s="16"/>
      <c r="T24" s="16"/>
      <c r="U24" s="7"/>
      <c r="V24" s="7"/>
      <c r="W24" s="7"/>
      <c r="X24" s="13"/>
      <c r="Y24" s="13"/>
      <c r="Z24" s="13"/>
      <c r="AA24" s="13"/>
      <c r="AB24" s="13"/>
      <c r="AC24" s="13"/>
      <c r="AD24" s="14"/>
    </row>
    <row r="25" spans="1:30" ht="14.25" customHeight="1" x14ac:dyDescent="0.3">
      <c r="A25" s="354"/>
      <c r="B25" s="354"/>
      <c r="C25" s="28"/>
      <c r="D25" s="7"/>
      <c r="E25" s="16"/>
      <c r="F25" s="16"/>
      <c r="G25" s="7"/>
      <c r="H25" s="45"/>
      <c r="I25" s="16"/>
      <c r="J25" s="7"/>
      <c r="K25" s="7"/>
      <c r="L25" s="7"/>
      <c r="M25" s="7"/>
      <c r="N25" s="7"/>
      <c r="O25" s="7"/>
      <c r="P25" s="46"/>
      <c r="Q25" s="16"/>
      <c r="R25" s="24"/>
      <c r="S25" s="16"/>
      <c r="T25" s="16"/>
      <c r="U25" s="7"/>
      <c r="V25" s="7"/>
      <c r="W25" s="7"/>
      <c r="X25" s="13"/>
      <c r="Y25" s="13"/>
      <c r="Z25" s="13"/>
      <c r="AA25" s="13"/>
      <c r="AB25" s="13"/>
      <c r="AC25" s="13"/>
      <c r="AD25" s="14"/>
    </row>
    <row r="26" spans="1:30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E22</f>
        <v>1</v>
      </c>
      <c r="F26" s="6" t="s">
        <v>202</v>
      </c>
      <c r="G26" s="3" t="s">
        <v>22</v>
      </c>
      <c r="H26" s="48">
        <f>(Inventori!H26/Inventori!C51)*0.88</f>
        <v>0.3662570239060281</v>
      </c>
      <c r="I26" s="18" t="s">
        <v>203</v>
      </c>
      <c r="J26" s="7"/>
      <c r="K26" s="7"/>
      <c r="L26" s="7"/>
      <c r="M26" s="7"/>
      <c r="N26" s="7"/>
      <c r="O26" s="8" t="s">
        <v>24</v>
      </c>
      <c r="P26" s="44">
        <f>Inventori!P26/Inventori!C51*1000</f>
        <v>1.8681105984792374E-3</v>
      </c>
      <c r="Q26" s="20" t="s">
        <v>205</v>
      </c>
      <c r="R26" s="17" t="s">
        <v>54</v>
      </c>
      <c r="S26" s="6">
        <f>E26</f>
        <v>1</v>
      </c>
      <c r="T26" s="6" t="s">
        <v>202</v>
      </c>
      <c r="U26" s="7"/>
      <c r="V26" s="7"/>
      <c r="W26" s="7"/>
      <c r="X26" s="13"/>
      <c r="Y26" s="13"/>
      <c r="Z26" s="13"/>
      <c r="AA26" s="13"/>
      <c r="AB26" s="13"/>
      <c r="AC26" s="13"/>
      <c r="AD26" s="14"/>
    </row>
    <row r="27" spans="1:30" ht="14.25" customHeight="1" x14ac:dyDescent="0.3">
      <c r="A27" s="353"/>
      <c r="B27" s="353"/>
      <c r="C27" s="28"/>
      <c r="D27" s="7"/>
      <c r="E27" s="16"/>
      <c r="F27" s="16"/>
      <c r="G27" s="7"/>
      <c r="H27" s="45"/>
      <c r="I27" s="16"/>
      <c r="J27" s="7"/>
      <c r="K27" s="7"/>
      <c r="L27" s="7"/>
      <c r="M27" s="7"/>
      <c r="N27" s="7"/>
      <c r="O27" s="17" t="s">
        <v>29</v>
      </c>
      <c r="P27" s="44">
        <f>Inventori!P27/Inventori!C51*1000</f>
        <v>2.8407627288199351E-2</v>
      </c>
      <c r="Q27" s="18" t="s">
        <v>206</v>
      </c>
      <c r="R27" s="24"/>
      <c r="S27" s="16"/>
      <c r="T27" s="16"/>
      <c r="U27" s="7"/>
      <c r="V27" s="7"/>
      <c r="W27" s="7"/>
      <c r="X27" s="13"/>
      <c r="Y27" s="13"/>
      <c r="Z27" s="13"/>
      <c r="AA27" s="13"/>
      <c r="AB27" s="13"/>
      <c r="AC27" s="13"/>
      <c r="AD27" s="14"/>
    </row>
    <row r="28" spans="1:30" ht="14.25" customHeight="1" x14ac:dyDescent="0.3">
      <c r="A28" s="353"/>
      <c r="B28" s="353"/>
      <c r="C28" s="28"/>
      <c r="D28" s="7"/>
      <c r="E28" s="16"/>
      <c r="F28" s="16"/>
      <c r="G28" s="7"/>
      <c r="H28" s="45"/>
      <c r="I28" s="16"/>
      <c r="J28" s="7"/>
      <c r="K28" s="7"/>
      <c r="L28" s="7"/>
      <c r="M28" s="7"/>
      <c r="N28" s="7"/>
      <c r="O28" s="17" t="s">
        <v>31</v>
      </c>
      <c r="P28" s="44">
        <f>Inventori!P28/Inventori!C51*1000</f>
        <v>1.1102582238315004</v>
      </c>
      <c r="Q28" s="18" t="s">
        <v>207</v>
      </c>
      <c r="R28" s="24"/>
      <c r="S28" s="16"/>
      <c r="T28" s="16"/>
      <c r="U28" s="7"/>
      <c r="V28" s="7"/>
      <c r="W28" s="7"/>
      <c r="X28" s="13"/>
      <c r="Y28" s="13"/>
      <c r="Z28" s="13"/>
      <c r="AA28" s="13"/>
      <c r="AB28" s="13"/>
      <c r="AC28" s="13"/>
      <c r="AD28" s="14"/>
    </row>
    <row r="29" spans="1:30" ht="14.25" customHeight="1" x14ac:dyDescent="0.3">
      <c r="A29" s="354"/>
      <c r="B29" s="354"/>
      <c r="C29" s="28"/>
      <c r="D29" s="7"/>
      <c r="E29" s="16"/>
      <c r="F29" s="16"/>
      <c r="G29" s="7"/>
      <c r="H29" s="45"/>
      <c r="I29" s="16"/>
      <c r="J29" s="7"/>
      <c r="K29" s="7"/>
      <c r="L29" s="7"/>
      <c r="M29" s="7"/>
      <c r="N29" s="7"/>
      <c r="O29" s="7"/>
      <c r="P29" s="46"/>
      <c r="Q29" s="16"/>
      <c r="R29" s="24"/>
      <c r="S29" s="16"/>
      <c r="T29" s="16"/>
      <c r="U29" s="7"/>
      <c r="V29" s="7"/>
      <c r="W29" s="7"/>
      <c r="X29" s="13"/>
      <c r="Y29" s="13"/>
      <c r="Z29" s="13"/>
      <c r="AA29" s="13"/>
      <c r="AB29" s="13"/>
      <c r="AC29" s="13"/>
      <c r="AD29" s="14"/>
    </row>
    <row r="30" spans="1:30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E22</f>
        <v>1</v>
      </c>
      <c r="F30" s="6" t="s">
        <v>202</v>
      </c>
      <c r="G30" s="5" t="s">
        <v>22</v>
      </c>
      <c r="H30" s="43">
        <f>(Inventori!H30/Inventori!C51)*0.88</f>
        <v>0.94669558955441135</v>
      </c>
      <c r="I30" s="18" t="s">
        <v>203</v>
      </c>
      <c r="J30" s="7"/>
      <c r="K30" s="7"/>
      <c r="L30" s="7"/>
      <c r="M30" s="7"/>
      <c r="N30" s="7"/>
      <c r="O30" s="8" t="s">
        <v>24</v>
      </c>
      <c r="P30" s="44">
        <f>Inventori!P30/Inventori!C51*1000</f>
        <v>4.828663886139983E-3</v>
      </c>
      <c r="Q30" s="20" t="s">
        <v>205</v>
      </c>
      <c r="R30" s="17" t="s">
        <v>54</v>
      </c>
      <c r="S30" s="6">
        <f>E30</f>
        <v>1</v>
      </c>
      <c r="T30" s="6" t="s">
        <v>202</v>
      </c>
      <c r="U30" s="7"/>
      <c r="V30" s="7"/>
      <c r="W30" s="7"/>
      <c r="X30" s="13"/>
      <c r="Y30" s="13"/>
      <c r="Z30" s="13"/>
      <c r="AA30" s="13"/>
      <c r="AB30" s="13"/>
      <c r="AC30" s="13"/>
      <c r="AD30" s="14"/>
    </row>
    <row r="31" spans="1:30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7" t="s">
        <v>29</v>
      </c>
      <c r="P31" s="44">
        <f>Inventori!P31/Inventori!C51*1000</f>
        <v>7.3427603317019252E-2</v>
      </c>
      <c r="Q31" s="18" t="s">
        <v>206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</row>
    <row r="32" spans="1:30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 t="s">
        <v>31</v>
      </c>
      <c r="P32" s="44">
        <f>Inventori!P32/Inventori!C51*1000</f>
        <v>2.8697785848810766</v>
      </c>
      <c r="Q32" s="18" t="s">
        <v>207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</row>
    <row r="34" spans="1:30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</row>
    <row r="35" spans="1:30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1:30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1:30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1:30" ht="14.25" customHeight="1" x14ac:dyDescent="0.3">
      <c r="A38" s="354"/>
      <c r="B38" s="354"/>
      <c r="C38" s="29" t="s">
        <v>64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1:30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18">
        <f>E22</f>
        <v>1</v>
      </c>
      <c r="F39" s="18" t="s">
        <v>202</v>
      </c>
      <c r="G39" s="284" t="s">
        <v>22</v>
      </c>
      <c r="H39" s="285">
        <f>(Inventori!H39/Inventori!$E$39)*0.88</f>
        <v>0.45896578825032147</v>
      </c>
      <c r="I39" s="18" t="s">
        <v>203</v>
      </c>
      <c r="J39" s="269"/>
      <c r="K39" s="269"/>
      <c r="L39" s="269"/>
      <c r="M39" s="285">
        <f>(Inventori!M39/Inventori!$E$39)*1000</f>
        <v>21.936256196726596</v>
      </c>
      <c r="N39" s="18" t="s">
        <v>203</v>
      </c>
      <c r="O39" s="277" t="s">
        <v>73</v>
      </c>
      <c r="P39" s="285">
        <f>(Inventori!P39/Inventori!$E$39)*1000</f>
        <v>0.40990362334425118</v>
      </c>
      <c r="Q39" s="18" t="s">
        <v>206</v>
      </c>
      <c r="R39" s="17" t="s">
        <v>54</v>
      </c>
      <c r="S39" s="18">
        <f>E39</f>
        <v>1</v>
      </c>
      <c r="T39" s="18" t="s">
        <v>202</v>
      </c>
      <c r="U39" s="269"/>
      <c r="V39" s="269"/>
      <c r="W39" s="269"/>
      <c r="X39" s="285" t="s">
        <v>284</v>
      </c>
      <c r="Y39" s="285">
        <f>(Inventori!Y39/Inventori!$E$39)*1000</f>
        <v>21.936256196726596</v>
      </c>
      <c r="Z39" s="277" t="s">
        <v>200</v>
      </c>
      <c r="AA39" s="269"/>
      <c r="AB39" s="269"/>
      <c r="AC39" s="269"/>
      <c r="AD39" s="265"/>
    </row>
    <row r="40" spans="1:30" s="264" customFormat="1" ht="14.25" customHeight="1" x14ac:dyDescent="0.3">
      <c r="A40" s="347"/>
      <c r="B40" s="350"/>
      <c r="C40" s="268"/>
      <c r="D40" s="284" t="s">
        <v>156</v>
      </c>
      <c r="E40" s="285">
        <f>(Inventori!E40/Inventori!$E$39)*0.88</f>
        <v>2.2355685488644349E-6</v>
      </c>
      <c r="F40" s="18" t="s">
        <v>202</v>
      </c>
      <c r="G40" s="284" t="s">
        <v>273</v>
      </c>
      <c r="H40" s="285">
        <f>(Inventori!H40/Inventori!$E$39)*0.88</f>
        <v>5.7370723531290184E-2</v>
      </c>
      <c r="I40" s="18" t="s">
        <v>203</v>
      </c>
      <c r="J40" s="269"/>
      <c r="K40" s="269"/>
      <c r="L40" s="269"/>
      <c r="M40" s="269"/>
      <c r="N40" s="269"/>
      <c r="O40" s="277" t="s">
        <v>31</v>
      </c>
      <c r="P40" s="285">
        <f>(Inventori!P40/Inventori!$E$39)*1000</f>
        <v>0.2834240641956331</v>
      </c>
      <c r="Q40" s="18" t="s">
        <v>207</v>
      </c>
      <c r="R40" s="269"/>
      <c r="S40" s="269"/>
      <c r="T40" s="280"/>
      <c r="U40" s="282" t="s">
        <v>195</v>
      </c>
      <c r="V40" s="285">
        <f>(Inventori!V40/Inventori!$E$39)</f>
        <v>2.5277799059977782E-6</v>
      </c>
      <c r="W40" s="18" t="s">
        <v>202</v>
      </c>
      <c r="X40" s="269"/>
      <c r="Y40" s="269"/>
      <c r="Z40" s="269"/>
      <c r="AA40" s="269"/>
      <c r="AB40" s="269"/>
      <c r="AC40" s="269"/>
      <c r="AD40" s="265"/>
    </row>
    <row r="41" spans="1:30" s="264" customFormat="1" ht="14.25" customHeight="1" x14ac:dyDescent="0.3">
      <c r="A41" s="347"/>
      <c r="B41" s="350"/>
      <c r="C41" s="268"/>
      <c r="D41" s="284" t="s">
        <v>274</v>
      </c>
      <c r="E41" s="285">
        <f>(Inventori!E41/Inventori!$E$39)*1000</f>
        <v>5.6919884053949107E-5</v>
      </c>
      <c r="F41" s="18" t="s">
        <v>202</v>
      </c>
      <c r="G41" s="281"/>
      <c r="H41" s="281"/>
      <c r="I41" s="281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80"/>
      <c r="U41" s="282" t="s">
        <v>275</v>
      </c>
      <c r="V41" s="285">
        <f>(Inventori!V41/Inventori!$E$39)</f>
        <v>7.9553869134066085E-8</v>
      </c>
      <c r="W41" s="18" t="s">
        <v>202</v>
      </c>
      <c r="X41" s="269"/>
      <c r="Y41" s="269"/>
      <c r="Z41" s="269"/>
      <c r="AA41" s="269"/>
      <c r="AB41" s="269"/>
      <c r="AC41" s="269"/>
      <c r="AD41" s="265"/>
    </row>
    <row r="42" spans="1:30" s="264" customFormat="1" ht="14.25" customHeight="1" x14ac:dyDescent="0.3">
      <c r="A42" s="347"/>
      <c r="B42" s="350"/>
      <c r="C42" s="268"/>
      <c r="D42" s="284" t="s">
        <v>126</v>
      </c>
      <c r="E42" s="285">
        <f>(Inventori!E42/Inventori!$E$39)*1000</f>
        <v>6.033037297453697E-5</v>
      </c>
      <c r="F42" s="18" t="s">
        <v>202</v>
      </c>
      <c r="G42" s="281"/>
      <c r="H42" s="281"/>
      <c r="I42" s="281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80"/>
      <c r="U42" s="282" t="s">
        <v>276</v>
      </c>
      <c r="V42" s="285">
        <f>(Inventori!V42/Inventori!$E$39)</f>
        <v>1.4464339842557471E-6</v>
      </c>
      <c r="W42" s="18" t="s">
        <v>202</v>
      </c>
      <c r="X42" s="269"/>
      <c r="Y42" s="269"/>
      <c r="Z42" s="269"/>
      <c r="AA42" s="269"/>
      <c r="AB42" s="269"/>
      <c r="AC42" s="269"/>
      <c r="AD42" s="265"/>
    </row>
    <row r="43" spans="1:30" s="264" customFormat="1" ht="14.25" customHeight="1" x14ac:dyDescent="0.3">
      <c r="A43" s="347"/>
      <c r="B43" s="350"/>
      <c r="C43" s="268"/>
      <c r="D43" s="284" t="s">
        <v>127</v>
      </c>
      <c r="E43" s="285">
        <f>(Inventori!E43/Inventori!$E$39)*1000</f>
        <v>1.9306503372293342E-5</v>
      </c>
      <c r="F43" s="18" t="s">
        <v>202</v>
      </c>
      <c r="G43" s="281"/>
      <c r="H43" s="281"/>
      <c r="I43" s="281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80"/>
      <c r="U43" s="282" t="s">
        <v>277</v>
      </c>
      <c r="V43" s="285">
        <f>(Inventori!V43/Inventori!$E$39)</f>
        <v>5.6919884053949109E-8</v>
      </c>
      <c r="W43" s="18" t="s">
        <v>202</v>
      </c>
      <c r="X43" s="269"/>
      <c r="Y43" s="269"/>
      <c r="Z43" s="269"/>
      <c r="AA43" s="269"/>
      <c r="AB43" s="269"/>
      <c r="AC43" s="269"/>
      <c r="AD43" s="265"/>
    </row>
    <row r="44" spans="1:30" s="264" customFormat="1" ht="14.25" customHeight="1" x14ac:dyDescent="0.3">
      <c r="A44" s="347"/>
      <c r="B44" s="350"/>
      <c r="C44" s="268"/>
      <c r="D44" s="284" t="s">
        <v>128</v>
      </c>
      <c r="E44" s="285">
        <f>(Inventori!E44/Inventori!$E$39)*1000</f>
        <v>3.6902147023324741E-3</v>
      </c>
      <c r="F44" s="18" t="s">
        <v>202</v>
      </c>
      <c r="G44" s="281"/>
      <c r="H44" s="281"/>
      <c r="I44" s="281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80"/>
      <c r="U44" s="282" t="s">
        <v>278</v>
      </c>
      <c r="V44" s="285">
        <f>(Inventori!V44/Inventori!$E$39)</f>
        <v>6.0330372974536973E-8</v>
      </c>
      <c r="W44" s="18" t="s">
        <v>202</v>
      </c>
      <c r="X44" s="269"/>
      <c r="Y44" s="269"/>
      <c r="Z44" s="269"/>
      <c r="AA44" s="269"/>
      <c r="AB44" s="269"/>
      <c r="AC44" s="269"/>
      <c r="AD44" s="265"/>
    </row>
    <row r="45" spans="1:30" s="264" customFormat="1" ht="14.25" customHeight="1" x14ac:dyDescent="0.3">
      <c r="A45" s="347"/>
      <c r="B45" s="350"/>
      <c r="C45" s="268"/>
      <c r="D45" s="269"/>
      <c r="E45" s="269"/>
      <c r="F45" s="269"/>
      <c r="G45" s="281"/>
      <c r="H45" s="281"/>
      <c r="I45" s="281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80"/>
      <c r="U45" s="282" t="s">
        <v>279</v>
      </c>
      <c r="V45" s="285">
        <f>(Inventori!V45/Inventori!$E$39)</f>
        <v>1.9306503372293343E-8</v>
      </c>
      <c r="W45" s="18" t="s">
        <v>202</v>
      </c>
      <c r="X45" s="269"/>
      <c r="Y45" s="269"/>
      <c r="Z45" s="269"/>
      <c r="AA45" s="269"/>
      <c r="AB45" s="269"/>
      <c r="AC45" s="269"/>
      <c r="AD45" s="265"/>
    </row>
    <row r="46" spans="1:30" s="264" customFormat="1" ht="14.25" customHeight="1" x14ac:dyDescent="0.3">
      <c r="A46" s="347"/>
      <c r="B46" s="350"/>
      <c r="C46" s="268"/>
      <c r="D46" s="269"/>
      <c r="E46" s="269"/>
      <c r="F46" s="269"/>
      <c r="G46" s="273"/>
      <c r="H46" s="274"/>
      <c r="I46" s="275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80"/>
      <c r="U46" s="282" t="s">
        <v>280</v>
      </c>
      <c r="V46" s="285">
        <f>(Inventori!V46/Inventori!$E$39)</f>
        <v>3.690214702332474E-6</v>
      </c>
      <c r="W46" s="18" t="s">
        <v>202</v>
      </c>
      <c r="X46" s="269"/>
      <c r="Y46" s="269"/>
      <c r="Z46" s="269"/>
      <c r="AA46" s="269"/>
      <c r="AB46" s="269"/>
      <c r="AC46" s="269"/>
      <c r="AD46" s="265"/>
    </row>
    <row r="47" spans="1:30" s="264" customFormat="1" ht="14.25" customHeight="1" x14ac:dyDescent="0.3">
      <c r="A47" s="347"/>
      <c r="B47" s="350"/>
      <c r="C47" s="268"/>
      <c r="D47" s="269"/>
      <c r="E47" s="269"/>
      <c r="F47" s="269"/>
      <c r="G47" s="273"/>
      <c r="H47" s="276"/>
      <c r="I47" s="273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80"/>
      <c r="U47" s="282" t="s">
        <v>281</v>
      </c>
      <c r="V47" s="285">
        <f>(Inventori!V47/Inventori!$E$39)</f>
        <v>3.1188732785514542E-7</v>
      </c>
      <c r="W47" s="18" t="s">
        <v>202</v>
      </c>
      <c r="X47" s="269"/>
      <c r="Y47" s="269"/>
      <c r="Z47" s="269"/>
      <c r="AA47" s="269"/>
      <c r="AB47" s="269"/>
      <c r="AC47" s="269"/>
      <c r="AD47" s="265"/>
    </row>
    <row r="48" spans="1:30" s="264" customFormat="1" ht="14.25" customHeight="1" x14ac:dyDescent="0.3">
      <c r="A48" s="347"/>
      <c r="B48" s="350"/>
      <c r="C48" s="268"/>
      <c r="D48" s="269"/>
      <c r="E48" s="269"/>
      <c r="F48" s="269"/>
      <c r="G48" s="273"/>
      <c r="H48" s="276"/>
      <c r="I48" s="273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80"/>
      <c r="U48" s="282" t="s">
        <v>282</v>
      </c>
      <c r="V48" s="285">
        <f>(Inventori!V48/Inventori!$E$39)</f>
        <v>9.2318406988326563E-9</v>
      </c>
      <c r="W48" s="18" t="s">
        <v>202</v>
      </c>
      <c r="X48" s="269"/>
      <c r="Y48" s="269"/>
      <c r="Z48" s="269"/>
      <c r="AA48" s="269"/>
      <c r="AB48" s="269"/>
      <c r="AC48" s="269"/>
      <c r="AD48" s="265"/>
    </row>
    <row r="49" spans="1:30" s="264" customFormat="1" ht="14.25" customHeight="1" x14ac:dyDescent="0.3">
      <c r="A49" s="348"/>
      <c r="B49" s="351"/>
      <c r="C49" s="268"/>
      <c r="D49" s="269"/>
      <c r="E49" s="269"/>
      <c r="F49" s="269"/>
      <c r="G49" s="273"/>
      <c r="H49" s="276"/>
      <c r="I49" s="273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80"/>
      <c r="U49" s="269"/>
      <c r="V49" s="269"/>
      <c r="W49" s="269"/>
      <c r="X49" s="269"/>
      <c r="Y49" s="269"/>
      <c r="Z49" s="269"/>
      <c r="AA49" s="269"/>
      <c r="AB49" s="269"/>
      <c r="AC49" s="269"/>
      <c r="AD49" s="265"/>
    </row>
    <row r="50" spans="1:30" ht="14.25" customHeight="1" x14ac:dyDescent="0.3"/>
    <row r="51" spans="1:30" ht="14.25" customHeight="1" x14ac:dyDescent="0.3">
      <c r="H51" s="33"/>
      <c r="O51" s="370" t="s">
        <v>66</v>
      </c>
      <c r="P51" s="371"/>
      <c r="Q51" s="371"/>
      <c r="R51" s="371"/>
      <c r="S51" s="371"/>
      <c r="T51" s="372"/>
    </row>
    <row r="52" spans="1:30" ht="14.25" customHeight="1" x14ac:dyDescent="0.3">
      <c r="H52" s="33"/>
      <c r="O52" s="34" t="s">
        <v>67</v>
      </c>
      <c r="P52" s="35" t="s">
        <v>68</v>
      </c>
      <c r="Q52" s="35" t="s">
        <v>8</v>
      </c>
      <c r="R52" s="370" t="s">
        <v>69</v>
      </c>
      <c r="S52" s="371"/>
      <c r="T52" s="372"/>
    </row>
    <row r="53" spans="1:30" ht="14.25" customHeight="1" x14ac:dyDescent="0.3">
      <c r="H53" s="33"/>
      <c r="O53" s="36" t="s">
        <v>70</v>
      </c>
      <c r="P53" s="37">
        <v>0.12468</v>
      </c>
      <c r="Q53" s="36" t="s">
        <v>71</v>
      </c>
      <c r="R53" s="363" t="s">
        <v>72</v>
      </c>
      <c r="S53" s="364"/>
      <c r="T53" s="365"/>
    </row>
    <row r="54" spans="1:30" ht="14.25" customHeight="1" x14ac:dyDescent="0.3">
      <c r="O54" s="36" t="s">
        <v>73</v>
      </c>
      <c r="P54" s="37">
        <v>1.8959600000000001</v>
      </c>
      <c r="Q54" s="36" t="s">
        <v>74</v>
      </c>
      <c r="R54" s="366"/>
      <c r="S54" s="367"/>
      <c r="T54" s="368"/>
    </row>
    <row r="55" spans="1:30" ht="14.25" customHeight="1" x14ac:dyDescent="0.3">
      <c r="O55" s="38" t="s">
        <v>75</v>
      </c>
      <c r="P55" s="39">
        <v>0.13328000000000001</v>
      </c>
      <c r="Q55" s="38" t="s">
        <v>76</v>
      </c>
      <c r="R55" s="369"/>
      <c r="S55" s="360"/>
      <c r="T55" s="361"/>
    </row>
    <row r="56" spans="1:30" ht="14.25" customHeight="1" x14ac:dyDescent="0.3">
      <c r="O56" s="36" t="s">
        <v>31</v>
      </c>
      <c r="P56" s="37">
        <v>74.099999999999994</v>
      </c>
      <c r="Q56" s="36" t="s">
        <v>77</v>
      </c>
      <c r="R56" s="363" t="s">
        <v>78</v>
      </c>
      <c r="S56" s="364"/>
      <c r="T56" s="365"/>
    </row>
    <row r="57" spans="1:30" ht="14.25" customHeight="1" x14ac:dyDescent="0.3">
      <c r="O57" s="38" t="s">
        <v>79</v>
      </c>
      <c r="P57" s="39">
        <v>3.0000000000000001E-3</v>
      </c>
      <c r="Q57" s="38" t="s">
        <v>80</v>
      </c>
      <c r="R57" s="366"/>
      <c r="S57" s="367"/>
      <c r="T57" s="368"/>
    </row>
    <row r="58" spans="1:30" ht="14.25" customHeight="1" x14ac:dyDescent="0.3">
      <c r="O58" s="38" t="s">
        <v>81</v>
      </c>
      <c r="P58" s="39">
        <v>5.9999999999999995E-4</v>
      </c>
      <c r="Q58" s="38" t="s">
        <v>82</v>
      </c>
      <c r="R58" s="369"/>
      <c r="S58" s="360"/>
      <c r="T58" s="361"/>
    </row>
    <row r="59" spans="1:30" ht="14.25" customHeight="1" x14ac:dyDescent="0.35">
      <c r="O59" s="34" t="s">
        <v>83</v>
      </c>
      <c r="P59" s="35" t="s">
        <v>8</v>
      </c>
      <c r="Q59" s="40"/>
      <c r="R59" s="359"/>
      <c r="S59" s="360"/>
      <c r="T59" s="361"/>
    </row>
    <row r="60" spans="1:30" ht="14.25" customHeight="1" x14ac:dyDescent="0.35">
      <c r="O60" s="41">
        <f>36*10^-6</f>
        <v>3.6000000000000001E-5</v>
      </c>
      <c r="P60" s="37" t="s">
        <v>84</v>
      </c>
      <c r="Q60" s="40"/>
      <c r="R60" s="359"/>
      <c r="S60" s="360"/>
      <c r="T60" s="361"/>
    </row>
    <row r="61" spans="1:30" ht="14.25" customHeight="1" x14ac:dyDescent="0.3"/>
    <row r="62" spans="1:30" ht="14.25" customHeight="1" x14ac:dyDescent="0.3"/>
    <row r="63" spans="1:30" ht="14.25" customHeight="1" x14ac:dyDescent="0.3"/>
    <row r="64" spans="1:30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53">
    <mergeCell ref="E2:E3"/>
    <mergeCell ref="F2:F3"/>
    <mergeCell ref="A8:A11"/>
    <mergeCell ref="B8:B11"/>
    <mergeCell ref="B12:B17"/>
    <mergeCell ref="A4:A7"/>
    <mergeCell ref="B4:B7"/>
    <mergeCell ref="Y2:Y3"/>
    <mergeCell ref="Z2:Z3"/>
    <mergeCell ref="AA2:AA3"/>
    <mergeCell ref="Q2:Q3"/>
    <mergeCell ref="R2:R3"/>
    <mergeCell ref="U2:U3"/>
    <mergeCell ref="M2:N2"/>
    <mergeCell ref="AB2:AB3"/>
    <mergeCell ref="AC2:AC3"/>
    <mergeCell ref="AD1:AD3"/>
    <mergeCell ref="D2:D3"/>
    <mergeCell ref="G2:G3"/>
    <mergeCell ref="H2:H3"/>
    <mergeCell ref="I2:I3"/>
    <mergeCell ref="J2:J3"/>
    <mergeCell ref="K2:K3"/>
    <mergeCell ref="V2:V3"/>
    <mergeCell ref="W2:W3"/>
    <mergeCell ref="X2:X3"/>
    <mergeCell ref="D1:N1"/>
    <mergeCell ref="O1:AC1"/>
    <mergeCell ref="L2:L3"/>
    <mergeCell ref="R60:T60"/>
    <mergeCell ref="T2:T3"/>
    <mergeCell ref="R53:T55"/>
    <mergeCell ref="R56:T58"/>
    <mergeCell ref="R59:T59"/>
    <mergeCell ref="O51:T51"/>
    <mergeCell ref="R52:T52"/>
    <mergeCell ref="O2:O3"/>
    <mergeCell ref="S2:S3"/>
    <mergeCell ref="P2:P3"/>
    <mergeCell ref="A39:A49"/>
    <mergeCell ref="B39:B49"/>
    <mergeCell ref="A1:A3"/>
    <mergeCell ref="B1:B3"/>
    <mergeCell ref="C1:C3"/>
    <mergeCell ref="A30:A38"/>
    <mergeCell ref="B30:B38"/>
    <mergeCell ref="A12:A17"/>
    <mergeCell ref="A26:A29"/>
    <mergeCell ref="B26:B29"/>
    <mergeCell ref="A18:A21"/>
    <mergeCell ref="B18:B21"/>
    <mergeCell ref="A22:A25"/>
    <mergeCell ref="B22:B25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AR1015"/>
  <sheetViews>
    <sheetView topLeftCell="C36" zoomScale="85" zoomScaleNormal="85" workbookViewId="0">
      <selection activeCell="F60" sqref="F60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customWidth="1"/>
    <col min="4" max="4" width="23.25" customWidth="1"/>
    <col min="5" max="5" width="12.08203125" customWidth="1"/>
    <col min="6" max="6" width="10.08203125" customWidth="1"/>
    <col min="7" max="7" width="11.58203125" customWidth="1"/>
    <col min="8" max="8" width="13.33203125" customWidth="1"/>
    <col min="9" max="9" width="13.25" customWidth="1"/>
    <col min="10" max="10" width="12.08203125" customWidth="1"/>
    <col min="11" max="11" width="7.58203125" customWidth="1"/>
    <col min="12" max="12" width="9.83203125" customWidth="1"/>
    <col min="13" max="13" width="14.58203125" customWidth="1"/>
    <col min="14" max="14" width="16.83203125" customWidth="1"/>
    <col min="15" max="15" width="11.58203125" customWidth="1"/>
    <col min="16" max="16" width="9.58203125" customWidth="1"/>
    <col min="17" max="17" width="9.25" customWidth="1"/>
    <col min="18" max="18" width="14.25" customWidth="1"/>
    <col min="19" max="19" width="8.58203125" bestFit="1" customWidth="1"/>
    <col min="20" max="20" width="7.58203125" customWidth="1"/>
    <col min="21" max="21" width="9.25" style="264" customWidth="1"/>
    <col min="22" max="22" width="14.25" style="264" customWidth="1"/>
    <col min="23" max="23" width="11.58203125" customWidth="1"/>
    <col min="24" max="24" width="13.58203125" customWidth="1"/>
    <col min="25" max="25" width="11.33203125" customWidth="1"/>
    <col min="26" max="26" width="11.58203125" customWidth="1"/>
    <col min="27" max="27" width="13.83203125" customWidth="1"/>
    <col min="28" max="28" width="22.58203125" customWidth="1"/>
    <col min="29" max="29" width="14.08203125" customWidth="1"/>
    <col min="30" max="30" width="7.58203125" customWidth="1"/>
    <col min="31" max="31" width="20.58203125" customWidth="1"/>
    <col min="32" max="32" width="10.83203125" customWidth="1"/>
    <col min="33" max="33" width="7.58203125" customWidth="1"/>
    <col min="34" max="34" width="9.83203125" style="264" customWidth="1"/>
    <col min="35" max="35" width="9.75" style="264" customWidth="1"/>
    <col min="36" max="36" width="10.83203125" customWidth="1"/>
    <col min="37" max="37" width="8.58203125" bestFit="1" customWidth="1"/>
    <col min="38" max="38" width="7.58203125" customWidth="1"/>
    <col min="39" max="39" width="7.58203125" style="264" customWidth="1"/>
    <col min="40" max="40" width="10.6640625" style="264" customWidth="1"/>
    <col min="41" max="41" width="14.33203125" customWidth="1"/>
    <col min="42" max="43" width="7.58203125" customWidth="1"/>
    <col min="44" max="44" width="22" customWidth="1"/>
  </cols>
  <sheetData>
    <row r="1" spans="1:44" ht="14.25" customHeight="1" x14ac:dyDescent="0.3">
      <c r="A1" s="352" t="s">
        <v>0</v>
      </c>
      <c r="B1" s="352" t="s">
        <v>1</v>
      </c>
      <c r="C1" s="355" t="s">
        <v>2</v>
      </c>
      <c r="D1" s="382" t="s">
        <v>3</v>
      </c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4"/>
      <c r="W1" s="377" t="s">
        <v>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4" t="s">
        <v>5</v>
      </c>
    </row>
    <row r="2" spans="1:44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85</v>
      </c>
      <c r="H2" s="375" t="s">
        <v>86</v>
      </c>
      <c r="I2" s="375" t="s">
        <v>9</v>
      </c>
      <c r="J2" s="375" t="s">
        <v>7</v>
      </c>
      <c r="K2" s="375" t="s">
        <v>8</v>
      </c>
      <c r="L2" s="375" t="s">
        <v>85</v>
      </c>
      <c r="M2" s="375" t="s">
        <v>86</v>
      </c>
      <c r="N2" s="375" t="s">
        <v>10</v>
      </c>
      <c r="O2" s="375" t="s">
        <v>7</v>
      </c>
      <c r="P2" s="375" t="s">
        <v>8</v>
      </c>
      <c r="Q2" s="375" t="s">
        <v>85</v>
      </c>
      <c r="R2" s="375" t="s">
        <v>86</v>
      </c>
      <c r="S2" s="373" t="s">
        <v>11</v>
      </c>
      <c r="T2" s="372"/>
      <c r="U2" s="375" t="s">
        <v>85</v>
      </c>
      <c r="V2" s="375" t="s">
        <v>86</v>
      </c>
      <c r="W2" s="362" t="s">
        <v>12</v>
      </c>
      <c r="X2" s="362" t="s">
        <v>7</v>
      </c>
      <c r="Y2" s="362" t="s">
        <v>8</v>
      </c>
      <c r="Z2" s="362" t="s">
        <v>85</v>
      </c>
      <c r="AA2" s="362" t="s">
        <v>86</v>
      </c>
      <c r="AB2" s="362" t="s">
        <v>13</v>
      </c>
      <c r="AC2" s="362" t="s">
        <v>7</v>
      </c>
      <c r="AD2" s="362" t="s">
        <v>8</v>
      </c>
      <c r="AE2" s="362" t="s">
        <v>14</v>
      </c>
      <c r="AF2" s="362" t="s">
        <v>7</v>
      </c>
      <c r="AG2" s="362" t="s">
        <v>8</v>
      </c>
      <c r="AH2" s="362" t="s">
        <v>85</v>
      </c>
      <c r="AI2" s="362" t="s">
        <v>86</v>
      </c>
      <c r="AJ2" s="362" t="s">
        <v>15</v>
      </c>
      <c r="AK2" s="362" t="s">
        <v>7</v>
      </c>
      <c r="AL2" s="362" t="s">
        <v>8</v>
      </c>
      <c r="AM2" s="362" t="s">
        <v>85</v>
      </c>
      <c r="AN2" s="362" t="s">
        <v>86</v>
      </c>
      <c r="AO2" s="362" t="s">
        <v>16</v>
      </c>
      <c r="AP2" s="362" t="s">
        <v>7</v>
      </c>
      <c r="AQ2" s="362" t="s">
        <v>8</v>
      </c>
      <c r="AR2" s="353"/>
    </row>
    <row r="3" spans="1:44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1" t="s">
        <v>17</v>
      </c>
      <c r="T3" s="1" t="s">
        <v>8</v>
      </c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</row>
    <row r="4" spans="1:44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2">
        <f>'Unit Fungsi'!E4</f>
        <v>9.0327994274291078E-5</v>
      </c>
      <c r="F4" s="61" t="s">
        <v>199</v>
      </c>
      <c r="G4" s="4">
        <f>CF!E3</f>
        <v>5.1299999999999998E-2</v>
      </c>
      <c r="H4" s="70">
        <f>E4*G4</f>
        <v>4.6338261062711319E-6</v>
      </c>
      <c r="I4" s="5" t="s">
        <v>22</v>
      </c>
      <c r="J4" s="43">
        <f>'Unit Fungsi'!H4</f>
        <v>5.2029606346859013E-2</v>
      </c>
      <c r="K4" s="18" t="s">
        <v>203</v>
      </c>
      <c r="L4" s="44">
        <f>CF!E7</f>
        <v>0.47899999999999998</v>
      </c>
      <c r="M4" s="52">
        <f>J4*L4</f>
        <v>2.4922181440145467E-2</v>
      </c>
      <c r="N4" s="7"/>
      <c r="O4" s="7"/>
      <c r="P4" s="7"/>
      <c r="Q4" s="7"/>
      <c r="R4" s="7"/>
      <c r="S4" s="7"/>
      <c r="T4" s="7"/>
      <c r="U4" s="24"/>
      <c r="V4" s="24"/>
      <c r="W4" s="8" t="s">
        <v>24</v>
      </c>
      <c r="X4" s="44">
        <f>'Unit Fungsi'!P4</f>
        <v>2.6537937215426107E-4</v>
      </c>
      <c r="Y4" s="20" t="s">
        <v>205</v>
      </c>
      <c r="Z4" s="71">
        <f>CF!E21</f>
        <v>0.82899999999999996</v>
      </c>
      <c r="AA4" s="54">
        <f t="shared" ref="AA4:AA6" si="0">X4*Z4</f>
        <v>2.1999949951588243E-4</v>
      </c>
      <c r="AB4" s="10" t="s">
        <v>26</v>
      </c>
      <c r="AC4" s="42">
        <f>'Unit Fungsi'!S4</f>
        <v>6.4818322919460664E-5</v>
      </c>
      <c r="AD4" s="11" t="s">
        <v>27</v>
      </c>
      <c r="AE4" s="12"/>
      <c r="AF4" s="12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4"/>
    </row>
    <row r="5" spans="1:44" ht="14.25" customHeight="1" x14ac:dyDescent="0.3">
      <c r="A5" s="353"/>
      <c r="B5" s="353"/>
      <c r="C5" s="15" t="s">
        <v>28</v>
      </c>
      <c r="D5" s="7"/>
      <c r="E5" s="45"/>
      <c r="F5" s="25"/>
      <c r="G5" s="16"/>
      <c r="H5" s="16"/>
      <c r="I5" s="7"/>
      <c r="J5" s="45"/>
      <c r="K5" s="25"/>
      <c r="L5" s="16"/>
      <c r="M5" s="16"/>
      <c r="N5" s="7"/>
      <c r="O5" s="7"/>
      <c r="P5" s="7"/>
      <c r="Q5" s="7"/>
      <c r="R5" s="7"/>
      <c r="S5" s="7"/>
      <c r="T5" s="7"/>
      <c r="U5" s="24"/>
      <c r="V5" s="24"/>
      <c r="W5" s="17" t="s">
        <v>29</v>
      </c>
      <c r="X5" s="44">
        <f>'Unit Fungsi'!P5</f>
        <v>4.0355203274750791E-3</v>
      </c>
      <c r="Y5" s="18" t="s">
        <v>206</v>
      </c>
      <c r="Z5" s="72">
        <f>CF!E22</f>
        <v>1.22</v>
      </c>
      <c r="AA5" s="56">
        <f t="shared" si="0"/>
        <v>4.9233347995195961E-3</v>
      </c>
      <c r="AB5" s="7"/>
      <c r="AC5" s="16"/>
      <c r="AD5" s="7"/>
      <c r="AE5" s="7"/>
      <c r="AF5" s="7"/>
      <c r="AG5" s="7"/>
      <c r="AH5" s="24"/>
      <c r="AI5" s="24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14.25" customHeight="1" x14ac:dyDescent="0.3">
      <c r="A6" s="353"/>
      <c r="B6" s="353"/>
      <c r="C6" s="15"/>
      <c r="D6" s="7"/>
      <c r="E6" s="45"/>
      <c r="F6" s="25"/>
      <c r="G6" s="16"/>
      <c r="H6" s="16"/>
      <c r="I6" s="7"/>
      <c r="J6" s="45"/>
      <c r="K6" s="25"/>
      <c r="L6" s="16"/>
      <c r="M6" s="16"/>
      <c r="N6" s="7"/>
      <c r="O6" s="7"/>
      <c r="P6" s="7"/>
      <c r="Q6" s="7"/>
      <c r="R6" s="7"/>
      <c r="S6" s="7"/>
      <c r="T6" s="7"/>
      <c r="U6" s="24"/>
      <c r="V6" s="24"/>
      <c r="W6" s="17" t="s">
        <v>31</v>
      </c>
      <c r="X6" s="44">
        <f>'Unit Fungsi'!P6</f>
        <v>0.15772065669418306</v>
      </c>
      <c r="Y6" s="18" t="s">
        <v>207</v>
      </c>
      <c r="Z6" s="72">
        <f>CF!E23</f>
        <v>0.85299999999999998</v>
      </c>
      <c r="AA6" s="56">
        <f t="shared" si="0"/>
        <v>0.13453572016013815</v>
      </c>
      <c r="AB6" s="7"/>
      <c r="AC6" s="16"/>
      <c r="AD6" s="7"/>
      <c r="AE6" s="7"/>
      <c r="AF6" s="7"/>
      <c r="AG6" s="7"/>
      <c r="AH6" s="24"/>
      <c r="AI6" s="24"/>
      <c r="AJ6" s="13"/>
      <c r="AK6" s="13"/>
      <c r="AL6" s="13"/>
      <c r="AM6" s="13"/>
      <c r="AN6" s="13"/>
      <c r="AO6" s="13"/>
      <c r="AP6" s="13"/>
      <c r="AQ6" s="13"/>
      <c r="AR6" s="14"/>
    </row>
    <row r="7" spans="1:44" ht="14.25" customHeight="1" x14ac:dyDescent="0.3">
      <c r="A7" s="354"/>
      <c r="B7" s="354"/>
      <c r="C7" s="15"/>
      <c r="D7" s="7"/>
      <c r="E7" s="45"/>
      <c r="F7" s="25"/>
      <c r="G7" s="16"/>
      <c r="H7" s="16"/>
      <c r="I7" s="7"/>
      <c r="J7" s="45"/>
      <c r="K7" s="25"/>
      <c r="L7" s="16"/>
      <c r="M7" s="16"/>
      <c r="N7" s="7"/>
      <c r="O7" s="7"/>
      <c r="P7" s="7"/>
      <c r="Q7" s="7"/>
      <c r="R7" s="7"/>
      <c r="S7" s="7"/>
      <c r="T7" s="7"/>
      <c r="U7" s="24"/>
      <c r="V7" s="24"/>
      <c r="W7" s="7"/>
      <c r="X7" s="46"/>
      <c r="Y7" s="25"/>
      <c r="Z7" s="16"/>
      <c r="AA7" s="16"/>
      <c r="AB7" s="7"/>
      <c r="AC7" s="16"/>
      <c r="AD7" s="7"/>
      <c r="AE7" s="7"/>
      <c r="AF7" s="7"/>
      <c r="AG7" s="7"/>
      <c r="AH7" s="24"/>
      <c r="AI7" s="24"/>
      <c r="AJ7" s="13"/>
      <c r="AK7" s="13"/>
      <c r="AL7" s="13"/>
      <c r="AM7" s="13"/>
      <c r="AN7" s="13"/>
      <c r="AO7" s="13"/>
      <c r="AP7" s="13"/>
      <c r="AQ7" s="13"/>
      <c r="AR7" s="14"/>
    </row>
    <row r="8" spans="1:44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43">
        <f>'Unit Fungsi'!E8</f>
        <v>0.26383552526843329</v>
      </c>
      <c r="F8" s="18" t="s">
        <v>200</v>
      </c>
      <c r="G8" s="18">
        <f>CF!E4</f>
        <v>5.1299999999999998E-2</v>
      </c>
      <c r="H8" s="73">
        <f>E8*G8</f>
        <v>1.3534762446270627E-2</v>
      </c>
      <c r="I8" s="5" t="s">
        <v>22</v>
      </c>
      <c r="J8" s="43">
        <f>'Unit Fungsi'!H8</f>
        <v>0.36838263291716555</v>
      </c>
      <c r="K8" s="18" t="s">
        <v>203</v>
      </c>
      <c r="L8" s="44">
        <f>L4</f>
        <v>0.47899999999999998</v>
      </c>
      <c r="M8" s="52">
        <f>J8*L8</f>
        <v>0.17645528116732229</v>
      </c>
      <c r="N8" s="7"/>
      <c r="O8" s="7"/>
      <c r="P8" s="7"/>
      <c r="Q8" s="7"/>
      <c r="R8" s="7"/>
      <c r="S8" s="7"/>
      <c r="T8" s="7"/>
      <c r="U8" s="24"/>
      <c r="V8" s="24"/>
      <c r="W8" s="8" t="s">
        <v>24</v>
      </c>
      <c r="X8" s="44">
        <f>'Unit Fungsi'!P8</f>
        <v>1.8789523638591357E-3</v>
      </c>
      <c r="Y8" s="20" t="s">
        <v>205</v>
      </c>
      <c r="Z8" s="71">
        <f t="shared" ref="Z8:Z10" si="1">Z4</f>
        <v>0.82899999999999996</v>
      </c>
      <c r="AA8" s="54">
        <f t="shared" ref="AA8:AA10" si="2">X8*Z8</f>
        <v>1.5576515096392234E-3</v>
      </c>
      <c r="AB8" s="19" t="s">
        <v>34</v>
      </c>
      <c r="AC8" s="43">
        <f>'Unit Fungsi'!S8</f>
        <v>0.26383552526843329</v>
      </c>
      <c r="AD8" s="20" t="s">
        <v>35</v>
      </c>
      <c r="AE8" s="7"/>
      <c r="AF8" s="7"/>
      <c r="AG8" s="7"/>
      <c r="AH8" s="24"/>
      <c r="AI8" s="24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4.25" customHeight="1" x14ac:dyDescent="0.3">
      <c r="A9" s="353"/>
      <c r="B9" s="353"/>
      <c r="C9" s="2" t="s">
        <v>36</v>
      </c>
      <c r="D9" s="7"/>
      <c r="E9" s="45"/>
      <c r="F9" s="25"/>
      <c r="G9" s="16"/>
      <c r="H9" s="16"/>
      <c r="I9" s="7"/>
      <c r="J9" s="45"/>
      <c r="K9" s="25"/>
      <c r="L9" s="16"/>
      <c r="M9" s="16"/>
      <c r="N9" s="7"/>
      <c r="O9" s="7"/>
      <c r="P9" s="7"/>
      <c r="Q9" s="7"/>
      <c r="R9" s="7"/>
      <c r="S9" s="7"/>
      <c r="T9" s="7"/>
      <c r="U9" s="24"/>
      <c r="V9" s="24"/>
      <c r="W9" s="17" t="s">
        <v>29</v>
      </c>
      <c r="X9" s="44">
        <f>'Unit Fungsi'!P9</f>
        <v>2.8572493774321198E-2</v>
      </c>
      <c r="Y9" s="18" t="s">
        <v>206</v>
      </c>
      <c r="Z9" s="72">
        <f t="shared" si="1"/>
        <v>1.22</v>
      </c>
      <c r="AA9" s="56">
        <f t="shared" si="2"/>
        <v>3.4858442404671862E-2</v>
      </c>
      <c r="AB9" s="21"/>
      <c r="AC9" s="16"/>
      <c r="AD9" s="21"/>
      <c r="AE9" s="7"/>
      <c r="AF9" s="7"/>
      <c r="AG9" s="7"/>
      <c r="AH9" s="24"/>
      <c r="AI9" s="24"/>
      <c r="AJ9" s="13"/>
      <c r="AK9" s="13"/>
      <c r="AL9" s="13"/>
      <c r="AM9" s="13"/>
      <c r="AN9" s="13"/>
      <c r="AO9" s="13"/>
      <c r="AP9" s="13"/>
      <c r="AQ9" s="13"/>
      <c r="AR9" s="14"/>
    </row>
    <row r="10" spans="1:44" ht="14.25" customHeight="1" x14ac:dyDescent="0.3">
      <c r="A10" s="353"/>
      <c r="B10" s="353"/>
      <c r="C10" s="2"/>
      <c r="D10" s="7"/>
      <c r="E10" s="45"/>
      <c r="F10" s="25"/>
      <c r="G10" s="16"/>
      <c r="H10" s="16"/>
      <c r="I10" s="7"/>
      <c r="J10" s="45"/>
      <c r="K10" s="25"/>
      <c r="L10" s="16"/>
      <c r="M10" s="16"/>
      <c r="N10" s="7"/>
      <c r="O10" s="7"/>
      <c r="P10" s="7"/>
      <c r="Q10" s="7"/>
      <c r="R10" s="7"/>
      <c r="S10" s="7"/>
      <c r="T10" s="7"/>
      <c r="U10" s="24"/>
      <c r="V10" s="24"/>
      <c r="W10" s="17" t="s">
        <v>31</v>
      </c>
      <c r="X10" s="44">
        <f>'Unit Fungsi'!P10</f>
        <v>1.1167017176929894</v>
      </c>
      <c r="Y10" s="18" t="s">
        <v>207</v>
      </c>
      <c r="Z10" s="72">
        <f t="shared" si="1"/>
        <v>0.85299999999999998</v>
      </c>
      <c r="AA10" s="56">
        <f t="shared" si="2"/>
        <v>0.95254656519212</v>
      </c>
      <c r="AB10" s="21"/>
      <c r="AC10" s="16"/>
      <c r="AD10" s="21"/>
      <c r="AE10" s="7"/>
      <c r="AF10" s="7"/>
      <c r="AG10" s="7"/>
      <c r="AH10" s="24"/>
      <c r="AI10" s="24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4.25" customHeight="1" x14ac:dyDescent="0.3">
      <c r="A11" s="354"/>
      <c r="B11" s="354"/>
      <c r="C11" s="2"/>
      <c r="D11" s="7"/>
      <c r="E11" s="45"/>
      <c r="F11" s="25"/>
      <c r="G11" s="16"/>
      <c r="H11" s="16"/>
      <c r="I11" s="7"/>
      <c r="J11" s="45"/>
      <c r="K11" s="25"/>
      <c r="L11" s="16"/>
      <c r="M11" s="16"/>
      <c r="N11" s="7"/>
      <c r="O11" s="7"/>
      <c r="P11" s="7"/>
      <c r="Q11" s="7"/>
      <c r="R11" s="7"/>
      <c r="S11" s="7"/>
      <c r="T11" s="7"/>
      <c r="U11" s="24"/>
      <c r="V11" s="24"/>
      <c r="W11" s="21"/>
      <c r="X11" s="46"/>
      <c r="Y11" s="22"/>
      <c r="Z11" s="22"/>
      <c r="AA11" s="22"/>
      <c r="AB11" s="21"/>
      <c r="AC11" s="16"/>
      <c r="AD11" s="21"/>
      <c r="AE11" s="7"/>
      <c r="AF11" s="7"/>
      <c r="AG11" s="7"/>
      <c r="AH11" s="24"/>
      <c r="AI11" s="24"/>
      <c r="AJ11" s="13"/>
      <c r="AK11" s="13"/>
      <c r="AL11" s="13"/>
      <c r="AM11" s="13"/>
      <c r="AN11" s="13"/>
      <c r="AO11" s="13"/>
      <c r="AP11" s="13"/>
      <c r="AQ11" s="13"/>
      <c r="AR11" s="14"/>
    </row>
    <row r="12" spans="1:44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47">
        <f>'Unit Fungsi'!E12</f>
        <v>24.839966543981944</v>
      </c>
      <c r="F12" s="58" t="s">
        <v>201</v>
      </c>
      <c r="G12" s="58">
        <v>0</v>
      </c>
      <c r="H12" s="59">
        <f>E12*G12</f>
        <v>0</v>
      </c>
      <c r="I12" s="5" t="s">
        <v>22</v>
      </c>
      <c r="J12" s="43">
        <f>'Unit Fungsi'!H12</f>
        <v>8.9641777063480463E-2</v>
      </c>
      <c r="K12" s="18" t="s">
        <v>203</v>
      </c>
      <c r="L12" s="44">
        <f>L4</f>
        <v>0.47899999999999998</v>
      </c>
      <c r="M12" s="52">
        <f>J12*L12</f>
        <v>4.2938411213407142E-2</v>
      </c>
      <c r="N12" s="10" t="s">
        <v>41</v>
      </c>
      <c r="O12" s="48">
        <f>'Unit Fungsi'!K12</f>
        <v>2.5838915890496632E-2</v>
      </c>
      <c r="P12" s="18" t="s">
        <v>203</v>
      </c>
      <c r="Q12" s="18">
        <v>0</v>
      </c>
      <c r="R12" s="60">
        <f t="shared" ref="R12:R16" si="3">O12*Q12</f>
        <v>0</v>
      </c>
      <c r="S12" s="7"/>
      <c r="T12" s="7"/>
      <c r="U12" s="294"/>
      <c r="V12" s="295"/>
      <c r="W12" s="8" t="s">
        <v>24</v>
      </c>
      <c r="X12" s="44">
        <f>'Unit Fungsi'!P12</f>
        <v>4.572219585385123E-4</v>
      </c>
      <c r="Y12" s="20" t="s">
        <v>205</v>
      </c>
      <c r="Z12" s="71">
        <f t="shared" ref="Z12:Z14" si="4">Z4</f>
        <v>0.82899999999999996</v>
      </c>
      <c r="AA12" s="54">
        <f t="shared" ref="AA12:AA14" si="5">X12*Z12</f>
        <v>3.790370036284267E-4</v>
      </c>
      <c r="AB12" s="19" t="s">
        <v>43</v>
      </c>
      <c r="AC12" s="49">
        <f>'Unit Fungsi'!S12</f>
        <v>22.057890291055969</v>
      </c>
      <c r="AD12" s="20" t="s">
        <v>40</v>
      </c>
      <c r="AE12" s="7"/>
      <c r="AF12" s="7"/>
      <c r="AG12" s="7"/>
      <c r="AH12" s="24"/>
      <c r="AI12" s="24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4.25" customHeight="1" x14ac:dyDescent="0.3">
      <c r="A13" s="353"/>
      <c r="B13" s="353"/>
      <c r="C13" s="10"/>
      <c r="D13" s="7"/>
      <c r="E13" s="45"/>
      <c r="F13" s="25"/>
      <c r="G13" s="16"/>
      <c r="H13" s="16"/>
      <c r="I13" s="7"/>
      <c r="J13" s="45"/>
      <c r="K13" s="25"/>
      <c r="L13" s="16"/>
      <c r="M13" s="16"/>
      <c r="N13" s="10" t="s">
        <v>44</v>
      </c>
      <c r="O13" s="48">
        <f>'Unit Fungsi'!K13</f>
        <v>3.4478466078456207E-3</v>
      </c>
      <c r="P13" s="18" t="s">
        <v>203</v>
      </c>
      <c r="Q13" s="18">
        <v>0</v>
      </c>
      <c r="R13" s="60">
        <f t="shared" si="3"/>
        <v>0</v>
      </c>
      <c r="S13" s="7"/>
      <c r="T13" s="7"/>
      <c r="U13" s="294"/>
      <c r="V13" s="295"/>
      <c r="W13" s="17" t="s">
        <v>29</v>
      </c>
      <c r="X13" s="44">
        <f>'Unit Fungsi'!P13</f>
        <v>6.9527955125976721E-3</v>
      </c>
      <c r="Y13" s="18" t="s">
        <v>206</v>
      </c>
      <c r="Z13" s="72">
        <f t="shared" si="4"/>
        <v>1.22</v>
      </c>
      <c r="AA13" s="56">
        <f t="shared" si="5"/>
        <v>8.4824105253691606E-3</v>
      </c>
      <c r="AB13" s="7"/>
      <c r="AC13" s="16"/>
      <c r="AD13" s="7"/>
      <c r="AE13" s="7"/>
      <c r="AF13" s="7"/>
      <c r="AG13" s="7"/>
      <c r="AH13" s="24"/>
      <c r="AI13" s="24"/>
      <c r="AJ13" s="13"/>
      <c r="AK13" s="13"/>
      <c r="AL13" s="13"/>
      <c r="AM13" s="13"/>
      <c r="AN13" s="13"/>
      <c r="AO13" s="13"/>
      <c r="AP13" s="13"/>
      <c r="AQ13" s="13"/>
      <c r="AR13" s="14"/>
    </row>
    <row r="14" spans="1:44" ht="14.25" customHeight="1" x14ac:dyDescent="0.3">
      <c r="A14" s="353"/>
      <c r="B14" s="353"/>
      <c r="C14" s="10"/>
      <c r="D14" s="7"/>
      <c r="E14" s="45"/>
      <c r="F14" s="25"/>
      <c r="G14" s="16"/>
      <c r="H14" s="16"/>
      <c r="I14" s="7"/>
      <c r="J14" s="45"/>
      <c r="K14" s="25"/>
      <c r="L14" s="16"/>
      <c r="M14" s="16"/>
      <c r="N14" s="10" t="s">
        <v>45</v>
      </c>
      <c r="O14" s="48">
        <f>'Unit Fungsi'!K14</f>
        <v>0.71937191858710159</v>
      </c>
      <c r="P14" s="61" t="s">
        <v>203</v>
      </c>
      <c r="Q14" s="61">
        <v>0</v>
      </c>
      <c r="R14" s="60">
        <f t="shared" si="3"/>
        <v>0</v>
      </c>
      <c r="S14" s="7"/>
      <c r="T14" s="7"/>
      <c r="U14" s="296"/>
      <c r="V14" s="295"/>
      <c r="W14" s="17" t="s">
        <v>31</v>
      </c>
      <c r="X14" s="44">
        <f>'Unit Fungsi'!P14</f>
        <v>0.27173682328925053</v>
      </c>
      <c r="Y14" s="18" t="s">
        <v>207</v>
      </c>
      <c r="Z14" s="72">
        <f t="shared" si="4"/>
        <v>0.85299999999999998</v>
      </c>
      <c r="AA14" s="56">
        <f t="shared" si="5"/>
        <v>0.23179151026573069</v>
      </c>
      <c r="AB14" s="7"/>
      <c r="AC14" s="16"/>
      <c r="AD14" s="7"/>
      <c r="AE14" s="7"/>
      <c r="AF14" s="7"/>
      <c r="AG14" s="7"/>
      <c r="AH14" s="24"/>
      <c r="AI14" s="24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4.25" customHeight="1" x14ac:dyDescent="0.3">
      <c r="A15" s="353"/>
      <c r="B15" s="353"/>
      <c r="C15" s="10"/>
      <c r="D15" s="7"/>
      <c r="E15" s="45"/>
      <c r="F15" s="25"/>
      <c r="G15" s="16"/>
      <c r="H15" s="16"/>
      <c r="I15" s="7"/>
      <c r="J15" s="45"/>
      <c r="K15" s="25"/>
      <c r="L15" s="16"/>
      <c r="M15" s="16"/>
      <c r="N15" s="10" t="s">
        <v>46</v>
      </c>
      <c r="O15" s="48">
        <f>'Unit Fungsi'!K15</f>
        <v>1.0797875586246475</v>
      </c>
      <c r="P15" s="61" t="s">
        <v>203</v>
      </c>
      <c r="Q15" s="61">
        <v>0</v>
      </c>
      <c r="R15" s="60">
        <f t="shared" si="3"/>
        <v>0</v>
      </c>
      <c r="S15" s="7"/>
      <c r="T15" s="7"/>
      <c r="U15" s="296"/>
      <c r="V15" s="295"/>
      <c r="W15" s="24"/>
      <c r="X15" s="16"/>
      <c r="Y15" s="25"/>
      <c r="Z15" s="25"/>
      <c r="AA15" s="25"/>
      <c r="AB15" s="7"/>
      <c r="AC15" s="16"/>
      <c r="AD15" s="7"/>
      <c r="AE15" s="7"/>
      <c r="AF15" s="7"/>
      <c r="AG15" s="7"/>
      <c r="AH15" s="24"/>
      <c r="AI15" s="24"/>
      <c r="AJ15" s="13"/>
      <c r="AK15" s="13"/>
      <c r="AL15" s="13"/>
      <c r="AM15" s="13"/>
      <c r="AN15" s="13"/>
      <c r="AO15" s="13"/>
      <c r="AP15" s="13"/>
      <c r="AQ15" s="13"/>
      <c r="AR15" s="14"/>
    </row>
    <row r="16" spans="1:44" ht="14.25" customHeight="1" x14ac:dyDescent="0.3">
      <c r="A16" s="353"/>
      <c r="B16" s="353"/>
      <c r="C16" s="10"/>
      <c r="D16" s="7"/>
      <c r="E16" s="45"/>
      <c r="F16" s="25"/>
      <c r="G16" s="16"/>
      <c r="H16" s="16"/>
      <c r="I16" s="7"/>
      <c r="J16" s="45"/>
      <c r="K16" s="25"/>
      <c r="L16" s="16"/>
      <c r="M16" s="16"/>
      <c r="N16" s="3" t="s">
        <v>47</v>
      </c>
      <c r="O16" s="48">
        <f>'Unit Fungsi'!K16</f>
        <v>3.1853188397032023E-2</v>
      </c>
      <c r="P16" s="61" t="s">
        <v>204</v>
      </c>
      <c r="Q16" s="61">
        <v>0</v>
      </c>
      <c r="R16" s="60">
        <f t="shared" si="3"/>
        <v>0</v>
      </c>
      <c r="S16" s="7"/>
      <c r="T16" s="7"/>
      <c r="U16" s="296"/>
      <c r="V16" s="295"/>
      <c r="W16" s="24"/>
      <c r="X16" s="16"/>
      <c r="Y16" s="25"/>
      <c r="Z16" s="25"/>
      <c r="AA16" s="25"/>
      <c r="AB16" s="7"/>
      <c r="AC16" s="16"/>
      <c r="AD16" s="7"/>
      <c r="AE16" s="7"/>
      <c r="AF16" s="7"/>
      <c r="AG16" s="7"/>
      <c r="AH16" s="24"/>
      <c r="AI16" s="24"/>
      <c r="AJ16" s="13"/>
      <c r="AK16" s="13"/>
      <c r="AL16" s="13"/>
      <c r="AM16" s="13"/>
      <c r="AN16" s="13"/>
      <c r="AO16" s="13"/>
      <c r="AP16" s="13"/>
      <c r="AQ16" s="13"/>
      <c r="AR16" s="14"/>
    </row>
    <row r="17" spans="1:44" ht="14.25" customHeight="1" x14ac:dyDescent="0.35">
      <c r="A17" s="354"/>
      <c r="B17" s="354"/>
      <c r="C17" s="10"/>
      <c r="D17" s="7"/>
      <c r="E17" s="45"/>
      <c r="F17" s="25"/>
      <c r="G17" s="16"/>
      <c r="H17" s="16"/>
      <c r="I17" s="7"/>
      <c r="J17" s="45"/>
      <c r="K17" s="25"/>
      <c r="L17" s="16"/>
      <c r="M17" s="16"/>
      <c r="N17" s="26"/>
      <c r="O17" s="26"/>
      <c r="P17" s="26"/>
      <c r="Q17" s="26"/>
      <c r="R17" s="26"/>
      <c r="S17" s="7"/>
      <c r="T17" s="7"/>
      <c r="U17" s="26"/>
      <c r="V17" s="26"/>
      <c r="W17" s="7"/>
      <c r="X17" s="16"/>
      <c r="Y17" s="25"/>
      <c r="Z17" s="16"/>
      <c r="AA17" s="16"/>
      <c r="AB17" s="7"/>
      <c r="AC17" s="16"/>
      <c r="AD17" s="7"/>
      <c r="AE17" s="7"/>
      <c r="AF17" s="7"/>
      <c r="AG17" s="7"/>
      <c r="AH17" s="24"/>
      <c r="AI17" s="24"/>
      <c r="AJ17" s="13"/>
      <c r="AK17" s="13"/>
      <c r="AL17" s="13"/>
      <c r="AM17" s="13"/>
      <c r="AN17" s="13"/>
      <c r="AO17" s="13"/>
      <c r="AP17" s="13"/>
      <c r="AQ17" s="13"/>
      <c r="AR17" s="14"/>
    </row>
    <row r="18" spans="1:44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43">
        <f>'Unit Fungsi'!E18</f>
        <v>24.839966543981944</v>
      </c>
      <c r="F18" s="18" t="s">
        <v>201</v>
      </c>
      <c r="G18" s="18">
        <v>0</v>
      </c>
      <c r="H18" s="60">
        <f>E18*G18</f>
        <v>0</v>
      </c>
      <c r="I18" s="3" t="s">
        <v>22</v>
      </c>
      <c r="J18" s="50">
        <f>'Unit Fungsi'!H18</f>
        <v>9.197851763478754</v>
      </c>
      <c r="K18" s="18" t="s">
        <v>203</v>
      </c>
      <c r="L18" s="51">
        <f>L4</f>
        <v>0.47899999999999998</v>
      </c>
      <c r="M18" s="52">
        <f>J18*L18</f>
        <v>4.4057709947063231</v>
      </c>
      <c r="N18" s="7"/>
      <c r="O18" s="7"/>
      <c r="P18" s="7"/>
      <c r="Q18" s="7"/>
      <c r="R18" s="7"/>
      <c r="S18" s="7"/>
      <c r="T18" s="7"/>
      <c r="U18" s="24"/>
      <c r="V18" s="24"/>
      <c r="W18" s="8" t="s">
        <v>24</v>
      </c>
      <c r="X18" s="44">
        <f>'Unit Fungsi'!P18</f>
        <v>4.6914061003794451E-2</v>
      </c>
      <c r="Y18" s="20" t="s">
        <v>205</v>
      </c>
      <c r="Z18" s="71">
        <f t="shared" ref="Z18:Z20" si="6">Z4</f>
        <v>0.82899999999999996</v>
      </c>
      <c r="AA18" s="54">
        <f t="shared" ref="AA18:AA20" si="7">X18*Z18</f>
        <v>3.8891756572145601E-2</v>
      </c>
      <c r="AB18" s="5" t="s">
        <v>50</v>
      </c>
      <c r="AC18" s="43">
        <f>'Unit Fungsi'!S18</f>
        <v>24.839966543981944</v>
      </c>
      <c r="AD18" s="6" t="s">
        <v>40</v>
      </c>
      <c r="AE18" s="7"/>
      <c r="AF18" s="7"/>
      <c r="AG18" s="7"/>
      <c r="AH18" s="24"/>
      <c r="AI18" s="24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1:44" ht="14.25" customHeight="1" x14ac:dyDescent="0.3">
      <c r="A19" s="353"/>
      <c r="B19" s="353"/>
      <c r="C19" s="14" t="s">
        <v>51</v>
      </c>
      <c r="D19" s="7"/>
      <c r="E19" s="16"/>
      <c r="F19" s="25"/>
      <c r="G19" s="16"/>
      <c r="H19" s="16"/>
      <c r="I19" s="7"/>
      <c r="J19" s="45"/>
      <c r="K19" s="25"/>
      <c r="L19" s="16"/>
      <c r="M19" s="16"/>
      <c r="N19" s="7"/>
      <c r="O19" s="7"/>
      <c r="P19" s="7"/>
      <c r="Q19" s="7"/>
      <c r="R19" s="7"/>
      <c r="S19" s="7"/>
      <c r="T19" s="7"/>
      <c r="U19" s="24"/>
      <c r="V19" s="24"/>
      <c r="W19" s="17" t="s">
        <v>29</v>
      </c>
      <c r="X19" s="44">
        <f>'Unit Fungsi'!P19</f>
        <v>0.7134037784789391</v>
      </c>
      <c r="Y19" s="18" t="s">
        <v>206</v>
      </c>
      <c r="Z19" s="72">
        <f t="shared" si="6"/>
        <v>1.22</v>
      </c>
      <c r="AA19" s="56">
        <f t="shared" si="7"/>
        <v>0.87035260974430573</v>
      </c>
      <c r="AB19" s="7"/>
      <c r="AC19" s="16"/>
      <c r="AD19" s="7"/>
      <c r="AE19" s="7"/>
      <c r="AF19" s="7"/>
      <c r="AG19" s="7"/>
      <c r="AH19" s="24"/>
      <c r="AI19" s="24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1:44" ht="14.25" customHeight="1" x14ac:dyDescent="0.3">
      <c r="A20" s="353"/>
      <c r="B20" s="353"/>
      <c r="C20" s="14"/>
      <c r="D20" s="7"/>
      <c r="E20" s="16"/>
      <c r="F20" s="25"/>
      <c r="G20" s="16"/>
      <c r="H20" s="16"/>
      <c r="I20" s="7"/>
      <c r="J20" s="45"/>
      <c r="K20" s="25"/>
      <c r="L20" s="16"/>
      <c r="M20" s="16"/>
      <c r="N20" s="7"/>
      <c r="O20" s="7"/>
      <c r="P20" s="7"/>
      <c r="Q20" s="7"/>
      <c r="R20" s="7"/>
      <c r="S20" s="7"/>
      <c r="T20" s="7"/>
      <c r="U20" s="24"/>
      <c r="V20" s="24"/>
      <c r="W20" s="17" t="s">
        <v>31</v>
      </c>
      <c r="X20" s="44">
        <f>'Unit Fungsi'!P20</f>
        <v>27.882033368472637</v>
      </c>
      <c r="Y20" s="18" t="s">
        <v>207</v>
      </c>
      <c r="Z20" s="72">
        <f t="shared" si="6"/>
        <v>0.85299999999999998</v>
      </c>
      <c r="AA20" s="56">
        <f t="shared" si="7"/>
        <v>23.783374463307158</v>
      </c>
      <c r="AB20" s="7"/>
      <c r="AC20" s="16"/>
      <c r="AD20" s="7"/>
      <c r="AE20" s="7"/>
      <c r="AF20" s="7"/>
      <c r="AG20" s="7"/>
      <c r="AH20" s="24"/>
      <c r="AI20" s="24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1:44" ht="14.25" customHeight="1" x14ac:dyDescent="0.3">
      <c r="A21" s="354"/>
      <c r="B21" s="354"/>
      <c r="C21" s="14"/>
      <c r="D21" s="7"/>
      <c r="E21" s="16"/>
      <c r="F21" s="25"/>
      <c r="G21" s="16"/>
      <c r="H21" s="16"/>
      <c r="I21" s="7"/>
      <c r="J21" s="45"/>
      <c r="K21" s="25"/>
      <c r="L21" s="16"/>
      <c r="M21" s="16"/>
      <c r="N21" s="7"/>
      <c r="O21" s="7"/>
      <c r="P21" s="7"/>
      <c r="Q21" s="7"/>
      <c r="R21" s="7"/>
      <c r="S21" s="7"/>
      <c r="T21" s="7"/>
      <c r="U21" s="24"/>
      <c r="V21" s="24"/>
      <c r="W21" s="7"/>
      <c r="X21" s="46"/>
      <c r="Y21" s="25"/>
      <c r="Z21" s="16"/>
      <c r="AA21" s="16"/>
      <c r="AB21" s="7"/>
      <c r="AC21" s="16"/>
      <c r="AD21" s="7"/>
      <c r="AE21" s="7"/>
      <c r="AF21" s="7"/>
      <c r="AG21" s="7"/>
      <c r="AH21" s="24"/>
      <c r="AI21" s="24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1:44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f>'Unit Fungsi'!E22</f>
        <v>1</v>
      </c>
      <c r="F22" s="18" t="s">
        <v>202</v>
      </c>
      <c r="G22" s="6">
        <f>CF!E6</f>
        <v>0.11700000000000001</v>
      </c>
      <c r="H22" s="60">
        <f>E22*G22</f>
        <v>0.11700000000000001</v>
      </c>
      <c r="I22" s="3" t="s">
        <v>22</v>
      </c>
      <c r="J22" s="48">
        <f>'Unit Fungsi'!H22</f>
        <v>0.15524651167584114</v>
      </c>
      <c r="K22" s="18" t="s">
        <v>203</v>
      </c>
      <c r="L22" s="51">
        <f>L4</f>
        <v>0.47899999999999998</v>
      </c>
      <c r="M22" s="52">
        <f>J22*L22</f>
        <v>7.4363079092727907E-2</v>
      </c>
      <c r="N22" s="7"/>
      <c r="O22" s="7"/>
      <c r="P22" s="7"/>
      <c r="Q22" s="7"/>
      <c r="R22" s="7"/>
      <c r="S22" s="7"/>
      <c r="T22" s="7"/>
      <c r="U22" s="24"/>
      <c r="V22" s="24"/>
      <c r="W22" s="8" t="s">
        <v>24</v>
      </c>
      <c r="X22" s="44">
        <f>'Unit Fungsi'!P22</f>
        <v>7.9184188946224924E-4</v>
      </c>
      <c r="Y22" s="20" t="s">
        <v>205</v>
      </c>
      <c r="Z22" s="71">
        <f t="shared" ref="Z22:Z24" si="8">Z4</f>
        <v>0.82899999999999996</v>
      </c>
      <c r="AA22" s="54">
        <f t="shared" ref="AA22:AA24" si="9">X22*Z22</f>
        <v>6.5643692636420457E-4</v>
      </c>
      <c r="AB22" s="17" t="s">
        <v>54</v>
      </c>
      <c r="AC22" s="6">
        <f>'Unit Fungsi'!S22</f>
        <v>1</v>
      </c>
      <c r="AD22" s="6" t="s">
        <v>55</v>
      </c>
      <c r="AE22" s="7"/>
      <c r="AF22" s="7"/>
      <c r="AG22" s="7"/>
      <c r="AH22" s="24"/>
      <c r="AI22" s="24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1:44" ht="14.25" customHeight="1" x14ac:dyDescent="0.3">
      <c r="A23" s="353"/>
      <c r="B23" s="353"/>
      <c r="C23" s="28"/>
      <c r="D23" s="7"/>
      <c r="E23" s="16"/>
      <c r="F23" s="25"/>
      <c r="G23" s="16"/>
      <c r="H23" s="16"/>
      <c r="I23" s="7"/>
      <c r="J23" s="45"/>
      <c r="K23" s="25"/>
      <c r="L23" s="16"/>
      <c r="M23" s="16"/>
      <c r="N23" s="7"/>
      <c r="O23" s="7"/>
      <c r="P23" s="7"/>
      <c r="Q23" s="7"/>
      <c r="R23" s="7"/>
      <c r="S23" s="7"/>
      <c r="T23" s="7"/>
      <c r="U23" s="24"/>
      <c r="V23" s="24"/>
      <c r="W23" s="17" t="s">
        <v>29</v>
      </c>
      <c r="X23" s="44">
        <f>'Unit Fungsi'!P23</f>
        <v>1.2041229938601588E-2</v>
      </c>
      <c r="Y23" s="18" t="s">
        <v>206</v>
      </c>
      <c r="Z23" s="72">
        <f t="shared" si="8"/>
        <v>1.22</v>
      </c>
      <c r="AA23" s="56">
        <f t="shared" si="9"/>
        <v>1.4690300525093937E-2</v>
      </c>
      <c r="AB23" s="24"/>
      <c r="AC23" s="16"/>
      <c r="AD23" s="16"/>
      <c r="AE23" s="7"/>
      <c r="AF23" s="7"/>
      <c r="AG23" s="7"/>
      <c r="AH23" s="24"/>
      <c r="AI23" s="24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1:44" ht="14.25" customHeight="1" x14ac:dyDescent="0.3">
      <c r="A24" s="353"/>
      <c r="B24" s="353"/>
      <c r="C24" s="28"/>
      <c r="D24" s="7"/>
      <c r="E24" s="16"/>
      <c r="F24" s="25"/>
      <c r="G24" s="16"/>
      <c r="H24" s="16"/>
      <c r="I24" s="7"/>
      <c r="J24" s="45"/>
      <c r="K24" s="25"/>
      <c r="L24" s="16"/>
      <c r="M24" s="16"/>
      <c r="N24" s="7"/>
      <c r="O24" s="7"/>
      <c r="P24" s="7"/>
      <c r="Q24" s="7"/>
      <c r="R24" s="7"/>
      <c r="S24" s="7"/>
      <c r="T24" s="7"/>
      <c r="U24" s="24"/>
      <c r="V24" s="24"/>
      <c r="W24" s="17" t="s">
        <v>31</v>
      </c>
      <c r="X24" s="44">
        <f>'Unit Fungsi'!P24</f>
        <v>0.47060863016644744</v>
      </c>
      <c r="Y24" s="18" t="s">
        <v>207</v>
      </c>
      <c r="Z24" s="72">
        <f t="shared" si="8"/>
        <v>0.85299999999999998</v>
      </c>
      <c r="AA24" s="56">
        <f t="shared" si="9"/>
        <v>0.40142916153197966</v>
      </c>
      <c r="AB24" s="24"/>
      <c r="AC24" s="16"/>
      <c r="AD24" s="16"/>
      <c r="AE24" s="7"/>
      <c r="AF24" s="7"/>
      <c r="AG24" s="7"/>
      <c r="AH24" s="24"/>
      <c r="AI24" s="24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1:44" ht="14.25" customHeight="1" x14ac:dyDescent="0.3">
      <c r="A25" s="354"/>
      <c r="B25" s="354"/>
      <c r="C25" s="28"/>
      <c r="D25" s="7"/>
      <c r="E25" s="16"/>
      <c r="F25" s="25"/>
      <c r="G25" s="16"/>
      <c r="H25" s="16"/>
      <c r="I25" s="7"/>
      <c r="J25" s="45"/>
      <c r="K25" s="25"/>
      <c r="L25" s="16"/>
      <c r="M25" s="16"/>
      <c r="N25" s="7"/>
      <c r="O25" s="7"/>
      <c r="P25" s="7"/>
      <c r="Q25" s="7"/>
      <c r="R25" s="7"/>
      <c r="S25" s="7"/>
      <c r="T25" s="7"/>
      <c r="U25" s="24"/>
      <c r="V25" s="24"/>
      <c r="W25" s="7"/>
      <c r="X25" s="46"/>
      <c r="Y25" s="25"/>
      <c r="Z25" s="16"/>
      <c r="AA25" s="16"/>
      <c r="AB25" s="24"/>
      <c r="AC25" s="16"/>
      <c r="AD25" s="16"/>
      <c r="AE25" s="7"/>
      <c r="AF25" s="7"/>
      <c r="AG25" s="7"/>
      <c r="AH25" s="24"/>
      <c r="AI25" s="24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1:44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'Unit Fungsi'!E26</f>
        <v>1</v>
      </c>
      <c r="F26" s="18" t="s">
        <v>202</v>
      </c>
      <c r="G26" s="6">
        <f>G22</f>
        <v>0.11700000000000001</v>
      </c>
      <c r="H26" s="60">
        <f>E26*G26</f>
        <v>0.11700000000000001</v>
      </c>
      <c r="I26" s="3" t="s">
        <v>22</v>
      </c>
      <c r="J26" s="48">
        <f>'Unit Fungsi'!H26</f>
        <v>0.3662570239060281</v>
      </c>
      <c r="K26" s="18" t="s">
        <v>203</v>
      </c>
      <c r="L26" s="51">
        <f>L4</f>
        <v>0.47899999999999998</v>
      </c>
      <c r="M26" s="52">
        <f>J26*L26</f>
        <v>0.17543711445098745</v>
      </c>
      <c r="N26" s="7"/>
      <c r="O26" s="7"/>
      <c r="P26" s="7"/>
      <c r="Q26" s="7"/>
      <c r="R26" s="7"/>
      <c r="S26" s="7"/>
      <c r="T26" s="7"/>
      <c r="U26" s="24"/>
      <c r="V26" s="24"/>
      <c r="W26" s="8" t="s">
        <v>24</v>
      </c>
      <c r="X26" s="44">
        <f>'Unit Fungsi'!P26</f>
        <v>1.8681105984792374E-3</v>
      </c>
      <c r="Y26" s="20" t="s">
        <v>205</v>
      </c>
      <c r="Z26" s="71">
        <f t="shared" ref="Z26:Z28" si="10">Z4</f>
        <v>0.82899999999999996</v>
      </c>
      <c r="AA26" s="54">
        <f t="shared" ref="AA26:AA28" si="11">X26*Z26</f>
        <v>1.5486636861392878E-3</v>
      </c>
      <c r="AB26" s="17" t="s">
        <v>54</v>
      </c>
      <c r="AC26" s="6">
        <f>'Unit Fungsi'!S26</f>
        <v>1</v>
      </c>
      <c r="AD26" s="6" t="s">
        <v>55</v>
      </c>
      <c r="AE26" s="7"/>
      <c r="AF26" s="7"/>
      <c r="AG26" s="7"/>
      <c r="AH26" s="24"/>
      <c r="AI26" s="24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1:44" ht="14.25" customHeight="1" x14ac:dyDescent="0.3">
      <c r="A27" s="353"/>
      <c r="B27" s="353"/>
      <c r="C27" s="28"/>
      <c r="D27" s="7"/>
      <c r="E27" s="16"/>
      <c r="F27" s="25"/>
      <c r="G27" s="16"/>
      <c r="H27" s="16"/>
      <c r="I27" s="7"/>
      <c r="J27" s="45"/>
      <c r="K27" s="25"/>
      <c r="L27" s="16"/>
      <c r="M27" s="16"/>
      <c r="N27" s="7"/>
      <c r="O27" s="7"/>
      <c r="P27" s="7"/>
      <c r="Q27" s="7"/>
      <c r="R27" s="7"/>
      <c r="S27" s="7"/>
      <c r="T27" s="7"/>
      <c r="U27" s="24"/>
      <c r="V27" s="24"/>
      <c r="W27" s="17" t="s">
        <v>29</v>
      </c>
      <c r="X27" s="44">
        <f>'Unit Fungsi'!P27</f>
        <v>2.8407627288199351E-2</v>
      </c>
      <c r="Y27" s="18" t="s">
        <v>206</v>
      </c>
      <c r="Z27" s="72">
        <f t="shared" si="10"/>
        <v>1.22</v>
      </c>
      <c r="AA27" s="56">
        <f t="shared" si="11"/>
        <v>3.4657305291603206E-2</v>
      </c>
      <c r="AB27" s="24"/>
      <c r="AC27" s="16"/>
      <c r="AD27" s="16"/>
      <c r="AE27" s="7"/>
      <c r="AF27" s="7"/>
      <c r="AG27" s="7"/>
      <c r="AH27" s="24"/>
      <c r="AI27" s="24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1:44" ht="14.25" customHeight="1" x14ac:dyDescent="0.3">
      <c r="A28" s="353"/>
      <c r="B28" s="353"/>
      <c r="C28" s="28"/>
      <c r="D28" s="7"/>
      <c r="E28" s="16"/>
      <c r="F28" s="25"/>
      <c r="G28" s="16"/>
      <c r="H28" s="16"/>
      <c r="I28" s="7"/>
      <c r="J28" s="45"/>
      <c r="K28" s="25"/>
      <c r="L28" s="16"/>
      <c r="M28" s="16"/>
      <c r="N28" s="7"/>
      <c r="O28" s="7"/>
      <c r="P28" s="7"/>
      <c r="Q28" s="7"/>
      <c r="R28" s="7"/>
      <c r="S28" s="7"/>
      <c r="T28" s="7"/>
      <c r="U28" s="24"/>
      <c r="V28" s="24"/>
      <c r="W28" s="17" t="s">
        <v>31</v>
      </c>
      <c r="X28" s="44">
        <f>'Unit Fungsi'!P28</f>
        <v>1.1102582238315004</v>
      </c>
      <c r="Y28" s="18" t="s">
        <v>207</v>
      </c>
      <c r="Z28" s="72">
        <f t="shared" si="10"/>
        <v>0.85299999999999998</v>
      </c>
      <c r="AA28" s="56">
        <f t="shared" si="11"/>
        <v>0.94705026492826982</v>
      </c>
      <c r="AB28" s="24"/>
      <c r="AC28" s="16"/>
      <c r="AD28" s="16"/>
      <c r="AE28" s="7"/>
      <c r="AF28" s="7"/>
      <c r="AG28" s="7"/>
      <c r="AH28" s="24"/>
      <c r="AI28" s="24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1:44" ht="14.25" customHeight="1" x14ac:dyDescent="0.3">
      <c r="A29" s="354"/>
      <c r="B29" s="354"/>
      <c r="C29" s="28"/>
      <c r="D29" s="7"/>
      <c r="E29" s="16"/>
      <c r="F29" s="25"/>
      <c r="G29" s="16"/>
      <c r="H29" s="16"/>
      <c r="I29" s="7"/>
      <c r="J29" s="45"/>
      <c r="K29" s="25"/>
      <c r="L29" s="16"/>
      <c r="M29" s="16"/>
      <c r="N29" s="7"/>
      <c r="O29" s="7"/>
      <c r="P29" s="7"/>
      <c r="Q29" s="7"/>
      <c r="R29" s="7"/>
      <c r="S29" s="7"/>
      <c r="T29" s="7"/>
      <c r="U29" s="24"/>
      <c r="V29" s="24"/>
      <c r="W29" s="7"/>
      <c r="X29" s="46"/>
      <c r="Y29" s="25"/>
      <c r="Z29" s="16"/>
      <c r="AA29" s="16"/>
      <c r="AB29" s="24"/>
      <c r="AC29" s="16"/>
      <c r="AD29" s="16"/>
      <c r="AE29" s="7"/>
      <c r="AF29" s="7"/>
      <c r="AG29" s="7"/>
      <c r="AH29" s="24"/>
      <c r="AI29" s="24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1:44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'Unit Fungsi'!E30</f>
        <v>1</v>
      </c>
      <c r="F30" s="18" t="s">
        <v>202</v>
      </c>
      <c r="G30" s="6">
        <f>G22</f>
        <v>0.11700000000000001</v>
      </c>
      <c r="H30" s="60">
        <f>E30*G30</f>
        <v>0.11700000000000001</v>
      </c>
      <c r="I30" s="5" t="s">
        <v>22</v>
      </c>
      <c r="J30" s="43">
        <f>'Unit Fungsi'!H30</f>
        <v>0.94669558955441135</v>
      </c>
      <c r="K30" s="18" t="s">
        <v>203</v>
      </c>
      <c r="L30" s="44">
        <f>L4</f>
        <v>0.47899999999999998</v>
      </c>
      <c r="M30" s="52">
        <f>J30*L30</f>
        <v>0.453467187396563</v>
      </c>
      <c r="N30" s="7"/>
      <c r="O30" s="7"/>
      <c r="P30" s="7"/>
      <c r="Q30" s="7"/>
      <c r="R30" s="7"/>
      <c r="S30" s="7"/>
      <c r="T30" s="7"/>
      <c r="U30" s="24"/>
      <c r="V30" s="24"/>
      <c r="W30" s="8" t="s">
        <v>24</v>
      </c>
      <c r="X30" s="44">
        <f>'Unit Fungsi'!P30</f>
        <v>4.828663886139983E-3</v>
      </c>
      <c r="Y30" s="20" t="s">
        <v>205</v>
      </c>
      <c r="Z30" s="71">
        <f t="shared" ref="Z30:Z32" si="12">Z4</f>
        <v>0.82899999999999996</v>
      </c>
      <c r="AA30" s="54">
        <f t="shared" ref="AA30:AA32" si="13">X30*Z30</f>
        <v>4.0029623616100454E-3</v>
      </c>
      <c r="AB30" s="17" t="s">
        <v>54</v>
      </c>
      <c r="AC30" s="6">
        <f>'Unit Fungsi'!S30</f>
        <v>1</v>
      </c>
      <c r="AD30" s="6" t="s">
        <v>55</v>
      </c>
      <c r="AE30" s="7"/>
      <c r="AF30" s="7"/>
      <c r="AG30" s="7"/>
      <c r="AH30" s="24"/>
      <c r="AI30" s="24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1:44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7" t="s">
        <v>29</v>
      </c>
      <c r="X31" s="44">
        <f>'Unit Fungsi'!P31</f>
        <v>7.3427603317019252E-2</v>
      </c>
      <c r="Y31" s="18" t="s">
        <v>206</v>
      </c>
      <c r="Z31" s="72">
        <f t="shared" si="12"/>
        <v>1.22</v>
      </c>
      <c r="AA31" s="56">
        <f t="shared" si="13"/>
        <v>8.9581676046763481E-2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1:44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 t="s">
        <v>31</v>
      </c>
      <c r="X32" s="44">
        <f>'Unit Fungsi'!P32</f>
        <v>2.8697785848810766</v>
      </c>
      <c r="Y32" s="18" t="s">
        <v>207</v>
      </c>
      <c r="Z32" s="72">
        <f t="shared" si="12"/>
        <v>0.85299999999999998</v>
      </c>
      <c r="AA32" s="56">
        <f t="shared" si="13"/>
        <v>2.4479211329035584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1:44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1:44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1:44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1:44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1:44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1:44" ht="14.25" customHeight="1" x14ac:dyDescent="0.3">
      <c r="A38" s="357"/>
      <c r="B38" s="357"/>
      <c r="C38" s="266" t="s">
        <v>64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86"/>
    </row>
    <row r="39" spans="1:44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289">
        <f>'Unit Fungsi'!E39</f>
        <v>1</v>
      </c>
      <c r="F39" s="18" t="s">
        <v>202</v>
      </c>
      <c r="G39" s="18">
        <f>G30</f>
        <v>0.11700000000000001</v>
      </c>
      <c r="H39" s="60">
        <f>E39*G39</f>
        <v>0.11700000000000001</v>
      </c>
      <c r="I39" s="284" t="s">
        <v>22</v>
      </c>
      <c r="J39" s="291">
        <f>'Unit Fungsi'!H39</f>
        <v>0.45896578825032147</v>
      </c>
      <c r="K39" s="18" t="s">
        <v>203</v>
      </c>
      <c r="L39" s="55">
        <f>L12</f>
        <v>0.47899999999999998</v>
      </c>
      <c r="M39" s="57">
        <f>J39*L39</f>
        <v>0.21984461257190396</v>
      </c>
      <c r="N39" s="269"/>
      <c r="O39" s="269"/>
      <c r="P39" s="269"/>
      <c r="Q39" s="269"/>
      <c r="R39" s="269"/>
      <c r="S39" s="291">
        <f>'Unit Fungsi'!M39</f>
        <v>21.936256196726596</v>
      </c>
      <c r="T39" s="18" t="s">
        <v>203</v>
      </c>
      <c r="U39" s="293"/>
      <c r="V39" s="293"/>
      <c r="W39" s="277" t="s">
        <v>29</v>
      </c>
      <c r="X39" s="291">
        <f>'Unit Fungsi'!P39</f>
        <v>0.40990362334425118</v>
      </c>
      <c r="Y39" s="18" t="s">
        <v>206</v>
      </c>
      <c r="Z39" s="297">
        <f>Z31</f>
        <v>1.22</v>
      </c>
      <c r="AA39" s="56">
        <f t="shared" ref="AA39:AA40" si="14">X39*Z39</f>
        <v>0.50008242047998641</v>
      </c>
      <c r="AB39" s="17" t="s">
        <v>54</v>
      </c>
      <c r="AC39" s="264">
        <f>'Unit Fungsi'!S39</f>
        <v>1</v>
      </c>
      <c r="AD39" s="18" t="s">
        <v>55</v>
      </c>
      <c r="AE39" s="269"/>
      <c r="AF39" s="269"/>
      <c r="AG39" s="269"/>
      <c r="AH39" s="269"/>
      <c r="AI39" s="269"/>
      <c r="AJ39" s="291" t="str">
        <f>'Unit Fungsi'!X39</f>
        <v>Air Limbah</v>
      </c>
      <c r="AK39" s="292">
        <f>'Unit Fungsi'!Y39</f>
        <v>21.936256196726596</v>
      </c>
      <c r="AL39" s="277" t="s">
        <v>200</v>
      </c>
      <c r="AM39" s="292">
        <v>0.53900000000000003</v>
      </c>
      <c r="AN39" s="300">
        <f>AM39*AK39</f>
        <v>11.823642090035635</v>
      </c>
      <c r="AO39" s="269"/>
      <c r="AP39" s="269"/>
      <c r="AQ39" s="269"/>
      <c r="AR39" s="287"/>
    </row>
    <row r="40" spans="1:44" s="264" customFormat="1" ht="14.25" customHeight="1" x14ac:dyDescent="0.3">
      <c r="A40" s="347"/>
      <c r="B40" s="350"/>
      <c r="C40" s="268"/>
      <c r="D40" s="284" t="s">
        <v>156</v>
      </c>
      <c r="E40" s="290">
        <f>'Unit Fungsi'!E40</f>
        <v>2.2355685488644349E-6</v>
      </c>
      <c r="F40" s="18" t="s">
        <v>202</v>
      </c>
      <c r="G40" s="293"/>
      <c r="H40" s="293"/>
      <c r="I40" s="284" t="s">
        <v>273</v>
      </c>
      <c r="J40" s="291">
        <f>'Unit Fungsi'!H40</f>
        <v>5.7370723531290184E-2</v>
      </c>
      <c r="K40" s="18" t="s">
        <v>203</v>
      </c>
      <c r="L40" s="55">
        <v>2.89</v>
      </c>
      <c r="M40" s="57">
        <f>J40*L40</f>
        <v>0.16580139100542865</v>
      </c>
      <c r="N40" s="269"/>
      <c r="O40" s="269"/>
      <c r="P40" s="269"/>
      <c r="Q40" s="269"/>
      <c r="R40" s="269"/>
      <c r="S40" s="269"/>
      <c r="T40" s="269"/>
      <c r="U40" s="269"/>
      <c r="V40" s="269"/>
      <c r="W40" s="277" t="s">
        <v>31</v>
      </c>
      <c r="X40" s="291">
        <f>'Unit Fungsi'!P40</f>
        <v>0.2834240641956331</v>
      </c>
      <c r="Y40" s="18" t="s">
        <v>207</v>
      </c>
      <c r="Z40" s="297">
        <f>Z32</f>
        <v>0.85299999999999998</v>
      </c>
      <c r="AA40" s="56">
        <f t="shared" si="14"/>
        <v>0.24176072675887503</v>
      </c>
      <c r="AB40" s="269"/>
      <c r="AC40" s="269"/>
      <c r="AD40" s="269"/>
      <c r="AE40" s="282" t="s">
        <v>195</v>
      </c>
      <c r="AF40" s="291">
        <f>'Unit Fungsi'!V40</f>
        <v>2.5277799059977782E-6</v>
      </c>
      <c r="AG40" s="279" t="s">
        <v>202</v>
      </c>
      <c r="AH40" s="298">
        <v>2.85</v>
      </c>
      <c r="AI40" s="299">
        <f>AF40*AH40</f>
        <v>7.2041727320936676E-6</v>
      </c>
      <c r="AJ40" s="269"/>
      <c r="AK40" s="269"/>
      <c r="AL40" s="269"/>
      <c r="AM40" s="269"/>
      <c r="AN40" s="269"/>
      <c r="AO40" s="269"/>
      <c r="AP40" s="269"/>
      <c r="AQ40" s="269"/>
      <c r="AR40" s="287"/>
    </row>
    <row r="41" spans="1:44" s="264" customFormat="1" ht="14.25" customHeight="1" x14ac:dyDescent="0.3">
      <c r="A41" s="347"/>
      <c r="B41" s="350"/>
      <c r="C41" s="268"/>
      <c r="D41" s="284" t="s">
        <v>274</v>
      </c>
      <c r="E41" s="290">
        <f>'Unit Fungsi'!E41</f>
        <v>5.6919884053949107E-5</v>
      </c>
      <c r="F41" s="18" t="s">
        <v>202</v>
      </c>
      <c r="G41" s="293"/>
      <c r="H41" s="293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82" t="s">
        <v>275</v>
      </c>
      <c r="AF41" s="291">
        <f>'Unit Fungsi'!V41</f>
        <v>7.9553869134066085E-8</v>
      </c>
      <c r="AG41" s="279" t="s">
        <v>202</v>
      </c>
      <c r="AH41" s="298">
        <v>1.97</v>
      </c>
      <c r="AI41" s="299">
        <f t="shared" ref="AI41:AI48" si="15">AF41*AH41</f>
        <v>1.5672112219411018E-7</v>
      </c>
      <c r="AJ41" s="269"/>
      <c r="AK41" s="269"/>
      <c r="AL41" s="269"/>
      <c r="AM41" s="269"/>
      <c r="AN41" s="269"/>
      <c r="AO41" s="269"/>
      <c r="AP41" s="269"/>
      <c r="AQ41" s="269"/>
      <c r="AR41" s="287"/>
    </row>
    <row r="42" spans="1:44" s="264" customFormat="1" ht="14.25" customHeight="1" x14ac:dyDescent="0.3">
      <c r="A42" s="347"/>
      <c r="B42" s="350"/>
      <c r="C42" s="268"/>
      <c r="D42" s="284" t="s">
        <v>126</v>
      </c>
      <c r="E42" s="290">
        <f>'Unit Fungsi'!E42</f>
        <v>6.033037297453697E-5</v>
      </c>
      <c r="F42" s="18" t="s">
        <v>202</v>
      </c>
      <c r="G42" s="293"/>
      <c r="H42" s="293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82" t="s">
        <v>276</v>
      </c>
      <c r="AF42" s="291">
        <f>'Unit Fungsi'!V42</f>
        <v>1.4464339842557471E-6</v>
      </c>
      <c r="AG42" s="279" t="s">
        <v>202</v>
      </c>
      <c r="AH42" s="298">
        <v>0.53900000000000003</v>
      </c>
      <c r="AI42" s="299">
        <f t="shared" si="15"/>
        <v>7.7962791751384773E-7</v>
      </c>
      <c r="AJ42" s="269"/>
      <c r="AK42" s="269"/>
      <c r="AL42" s="269"/>
      <c r="AM42" s="269"/>
      <c r="AN42" s="269"/>
      <c r="AO42" s="269"/>
      <c r="AP42" s="269"/>
      <c r="AQ42" s="269"/>
      <c r="AR42" s="287"/>
    </row>
    <row r="43" spans="1:44" s="264" customFormat="1" ht="14.25" customHeight="1" x14ac:dyDescent="0.3">
      <c r="A43" s="347"/>
      <c r="B43" s="350"/>
      <c r="C43" s="268"/>
      <c r="D43" s="284" t="s">
        <v>127</v>
      </c>
      <c r="E43" s="290">
        <f>'Unit Fungsi'!E43</f>
        <v>1.9306503372293342E-5</v>
      </c>
      <c r="F43" s="18" t="s">
        <v>202</v>
      </c>
      <c r="G43" s="293"/>
      <c r="H43" s="293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82" t="s">
        <v>277</v>
      </c>
      <c r="AF43" s="291">
        <f>'Unit Fungsi'!V43</f>
        <v>5.6919884053949109E-8</v>
      </c>
      <c r="AG43" s="279" t="s">
        <v>202</v>
      </c>
      <c r="AH43" s="298">
        <v>0</v>
      </c>
      <c r="AI43" s="299">
        <f t="shared" si="15"/>
        <v>0</v>
      </c>
      <c r="AJ43" s="269"/>
      <c r="AK43" s="269"/>
      <c r="AL43" s="269"/>
      <c r="AM43" s="269"/>
      <c r="AN43" s="269"/>
      <c r="AO43" s="269"/>
      <c r="AP43" s="269"/>
      <c r="AQ43" s="269"/>
      <c r="AR43" s="287"/>
    </row>
    <row r="44" spans="1:44" s="264" customFormat="1" ht="14.25" customHeight="1" x14ac:dyDescent="0.3">
      <c r="A44" s="347"/>
      <c r="B44" s="350"/>
      <c r="C44" s="268"/>
      <c r="D44" s="284" t="s">
        <v>128</v>
      </c>
      <c r="E44" s="290">
        <f>'Unit Fungsi'!E44</f>
        <v>3.6902147023324741E-3</v>
      </c>
      <c r="F44" s="18" t="s">
        <v>202</v>
      </c>
      <c r="G44" s="293"/>
      <c r="H44" s="293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82" t="s">
        <v>278</v>
      </c>
      <c r="AF44" s="291">
        <f>'Unit Fungsi'!V44</f>
        <v>6.0330372974536973E-8</v>
      </c>
      <c r="AG44" s="279" t="s">
        <v>202</v>
      </c>
      <c r="AH44" s="298">
        <v>0</v>
      </c>
      <c r="AI44" s="299">
        <f t="shared" si="15"/>
        <v>0</v>
      </c>
      <c r="AJ44" s="269"/>
      <c r="AK44" s="269"/>
      <c r="AL44" s="269"/>
      <c r="AM44" s="269"/>
      <c r="AN44" s="269"/>
      <c r="AO44" s="269"/>
      <c r="AP44" s="269"/>
      <c r="AQ44" s="269"/>
      <c r="AR44" s="287"/>
    </row>
    <row r="45" spans="1:44" s="264" customFormat="1" ht="14.25" customHeight="1" x14ac:dyDescent="0.3">
      <c r="A45" s="347"/>
      <c r="B45" s="350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82" t="s">
        <v>279</v>
      </c>
      <c r="AF45" s="291">
        <f>'Unit Fungsi'!V45</f>
        <v>1.9306503372293343E-8</v>
      </c>
      <c r="AG45" s="279" t="s">
        <v>202</v>
      </c>
      <c r="AH45" s="298">
        <v>0.66600000000000004</v>
      </c>
      <c r="AI45" s="299">
        <f t="shared" si="15"/>
        <v>1.2858131245947367E-8</v>
      </c>
      <c r="AJ45" s="269"/>
      <c r="AK45" s="269"/>
      <c r="AL45" s="269"/>
      <c r="AM45" s="269"/>
      <c r="AN45" s="269"/>
      <c r="AO45" s="269"/>
      <c r="AP45" s="269"/>
      <c r="AQ45" s="269"/>
      <c r="AR45" s="287"/>
    </row>
    <row r="46" spans="1:44" s="264" customFormat="1" ht="14.25" customHeight="1" x14ac:dyDescent="0.3">
      <c r="A46" s="347"/>
      <c r="B46" s="350"/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82" t="s">
        <v>280</v>
      </c>
      <c r="AF46" s="291">
        <f>'Unit Fungsi'!V46</f>
        <v>3.690214702332474E-6</v>
      </c>
      <c r="AG46" s="279" t="s">
        <v>202</v>
      </c>
      <c r="AH46" s="298">
        <v>8.5500000000000007</v>
      </c>
      <c r="AI46" s="299">
        <f t="shared" si="15"/>
        <v>3.1551335704942655E-5</v>
      </c>
      <c r="AJ46" s="269"/>
      <c r="AK46" s="269"/>
      <c r="AL46" s="269"/>
      <c r="AM46" s="269"/>
      <c r="AN46" s="269"/>
      <c r="AO46" s="269"/>
      <c r="AP46" s="269"/>
      <c r="AQ46" s="269"/>
      <c r="AR46" s="287"/>
    </row>
    <row r="47" spans="1:44" s="264" customFormat="1" ht="14.25" customHeight="1" x14ac:dyDescent="0.3">
      <c r="A47" s="347"/>
      <c r="B47" s="350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82" t="s">
        <v>281</v>
      </c>
      <c r="AF47" s="291">
        <f>'Unit Fungsi'!V47</f>
        <v>3.1188732785514542E-7</v>
      </c>
      <c r="AG47" s="279" t="s">
        <v>202</v>
      </c>
      <c r="AH47" s="298">
        <v>0.03</v>
      </c>
      <c r="AI47" s="299">
        <f t="shared" si="15"/>
        <v>9.3566198356543616E-9</v>
      </c>
      <c r="AJ47" s="269"/>
      <c r="AK47" s="269"/>
      <c r="AL47" s="269"/>
      <c r="AM47" s="269"/>
      <c r="AN47" s="269"/>
      <c r="AO47" s="269"/>
      <c r="AP47" s="269"/>
      <c r="AQ47" s="269"/>
      <c r="AR47" s="287"/>
    </row>
    <row r="48" spans="1:44" s="264" customFormat="1" ht="14.25" customHeight="1" x14ac:dyDescent="0.3">
      <c r="A48" s="347"/>
      <c r="B48" s="350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82" t="s">
        <v>282</v>
      </c>
      <c r="AF48" s="291">
        <f>'Unit Fungsi'!V48</f>
        <v>9.2318406988326563E-9</v>
      </c>
      <c r="AG48" s="279" t="s">
        <v>202</v>
      </c>
      <c r="AH48" s="298">
        <v>2.85</v>
      </c>
      <c r="AI48" s="299">
        <f t="shared" si="15"/>
        <v>2.6310745991673072E-8</v>
      </c>
      <c r="AJ48" s="269"/>
      <c r="AK48" s="269"/>
      <c r="AL48" s="269"/>
      <c r="AM48" s="269"/>
      <c r="AN48" s="269"/>
      <c r="AO48" s="269"/>
      <c r="AP48" s="269"/>
      <c r="AQ48" s="269"/>
      <c r="AR48" s="287"/>
    </row>
    <row r="49" spans="1:44" s="264" customFormat="1" ht="14.25" customHeight="1" x14ac:dyDescent="0.3">
      <c r="A49" s="348"/>
      <c r="B49" s="351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87"/>
    </row>
    <row r="50" spans="1:44" ht="14.25" customHeight="1" x14ac:dyDescent="0.3"/>
    <row r="51" spans="1:44" ht="14.25" customHeight="1" x14ac:dyDescent="0.35">
      <c r="B51" s="62" t="s">
        <v>92</v>
      </c>
      <c r="D51" s="63" t="s">
        <v>87</v>
      </c>
      <c r="E51" s="64">
        <f>SUM(H4,M4,AA4:AA6)</f>
        <v>0.16460586972542537</v>
      </c>
      <c r="F51">
        <v>0.16460586972542537</v>
      </c>
      <c r="G51" s="381" t="s">
        <v>210</v>
      </c>
      <c r="H51" s="381"/>
      <c r="I51" s="381"/>
      <c r="J51" s="33"/>
    </row>
    <row r="52" spans="1:44" ht="14.25" customHeight="1" x14ac:dyDescent="0.35">
      <c r="B52" s="65">
        <f>SUM(H4,H8,H12,H18,H22,H26,H30,H39,M39,M40,AA39,AA40,AI40,AI41,AI42,AI43,AI44,AI45,AI46,AI47,AI48,AN39,M4,M8,M12,M18,M22,M26,M30,R12:R16,AA4:AA6,AA8:AA10,AA12:AA14,AA18:AA20,AA22:AA24,AA26:AA28,AA30:AA32)</f>
        <v>48.78951603215998</v>
      </c>
      <c r="D52" s="63" t="s">
        <v>88</v>
      </c>
      <c r="E52" s="64">
        <f>SUM(H8,M8,AA8:AA10)</f>
        <v>1.1789527027200239</v>
      </c>
      <c r="F52">
        <v>1.1789527027200239</v>
      </c>
      <c r="G52" s="195" t="s">
        <v>86</v>
      </c>
      <c r="H52" s="195" t="s">
        <v>211</v>
      </c>
      <c r="I52" s="195" t="s">
        <v>212</v>
      </c>
      <c r="J52" s="33"/>
    </row>
    <row r="53" spans="1:44" ht="14.25" customHeight="1" x14ac:dyDescent="0.35">
      <c r="B53" s="62" t="s">
        <v>93</v>
      </c>
      <c r="D53" s="63" t="s">
        <v>89</v>
      </c>
      <c r="E53" s="64">
        <f>SUM(H12,M12,R12:R16,AA12:AA14)</f>
        <v>0.28359136900813542</v>
      </c>
      <c r="F53">
        <v>0.28359136900813542</v>
      </c>
      <c r="G53" s="198">
        <f>H4</f>
        <v>4.6338261062711319E-6</v>
      </c>
      <c r="H53" s="203">
        <f>(G53/$G$90)*100%</f>
        <v>1.3100878997927462E-7</v>
      </c>
      <c r="I53" s="199"/>
      <c r="J53" s="33"/>
    </row>
    <row r="54" spans="1:44" ht="14.25" customHeight="1" x14ac:dyDescent="0.35">
      <c r="D54" s="63" t="s">
        <v>90</v>
      </c>
      <c r="E54" s="64">
        <f>SUM(H18,M18,AA18:AA20)</f>
        <v>29.098389824329935</v>
      </c>
      <c r="F54">
        <v>29.098389824329935</v>
      </c>
      <c r="G54" s="198">
        <f>H8</f>
        <v>1.3534762446270627E-2</v>
      </c>
      <c r="H54" s="203">
        <f t="shared" ref="H54:H89" si="16">(G54/$G$90)*100%</f>
        <v>3.8265847920860479E-4</v>
      </c>
      <c r="I54" s="199"/>
    </row>
    <row r="55" spans="1:44" ht="14.25" customHeight="1" x14ac:dyDescent="0.35">
      <c r="D55" s="63" t="s">
        <v>52</v>
      </c>
      <c r="E55" s="64">
        <f>SUM(H22,M22,AA22:AA24)</f>
        <v>0.60813897807616568</v>
      </c>
      <c r="F55">
        <v>0.60813897807616568</v>
      </c>
      <c r="G55" s="199">
        <f>H12</f>
        <v>0</v>
      </c>
      <c r="H55" s="203">
        <f t="shared" si="16"/>
        <v>0</v>
      </c>
      <c r="I55" s="199"/>
    </row>
    <row r="56" spans="1:44" ht="14.25" customHeight="1" x14ac:dyDescent="0.35">
      <c r="D56" s="63" t="s">
        <v>56</v>
      </c>
      <c r="E56" s="64">
        <f>SUM(H26,M26,AA26:AA28)</f>
        <v>1.2756933483569997</v>
      </c>
      <c r="F56">
        <v>1.2756933483569997</v>
      </c>
      <c r="G56" s="199">
        <f>H18</f>
        <v>0</v>
      </c>
      <c r="H56" s="203">
        <f t="shared" si="16"/>
        <v>0</v>
      </c>
      <c r="I56" s="199"/>
    </row>
    <row r="57" spans="1:44" ht="14.25" customHeight="1" x14ac:dyDescent="0.35">
      <c r="D57" s="63" t="s">
        <v>91</v>
      </c>
      <c r="E57" s="64">
        <f>SUM(H30,M30,AA30:AA32)</f>
        <v>3.111972958708495</v>
      </c>
      <c r="F57">
        <v>3.111972958708495</v>
      </c>
      <c r="G57" s="198">
        <f>M4</f>
        <v>2.4922181440145467E-2</v>
      </c>
      <c r="H57" s="203">
        <f t="shared" si="16"/>
        <v>7.0460668122584752E-4</v>
      </c>
      <c r="I57" s="199"/>
    </row>
    <row r="58" spans="1:44" ht="14.25" customHeight="1" x14ac:dyDescent="0.35">
      <c r="D58" s="74" t="s">
        <v>272</v>
      </c>
      <c r="E58" s="303">
        <f>SUM(H39,M39,M40,AA39,AA40,AI40,AI41,AI42,AI43,AI44,AI45,AI46,AI47,AI48,AN39)</f>
        <v>13.068170981234804</v>
      </c>
      <c r="F58">
        <v>13.068170981234804</v>
      </c>
      <c r="G58" s="198">
        <f>M8</f>
        <v>0.17645528116732229</v>
      </c>
      <c r="H58" s="203">
        <f t="shared" si="16"/>
        <v>4.988791625110448E-3</v>
      </c>
      <c r="I58" s="199"/>
    </row>
    <row r="59" spans="1:44" ht="14.25" customHeight="1" x14ac:dyDescent="0.3">
      <c r="E59" s="303">
        <f>SUM(E51:E58)</f>
        <v>48.78951603215998</v>
      </c>
      <c r="F59">
        <v>48.78951603215998</v>
      </c>
      <c r="G59" s="198">
        <f>M12</f>
        <v>4.2938411213407142E-2</v>
      </c>
      <c r="H59" s="203">
        <f t="shared" si="16"/>
        <v>1.2139664216333115E-3</v>
      </c>
      <c r="I59" s="199"/>
    </row>
    <row r="60" spans="1:44" ht="14.25" customHeight="1" x14ac:dyDescent="0.35">
      <c r="G60" s="205">
        <f>M18</f>
        <v>4.4057709947063231</v>
      </c>
      <c r="H60" s="206">
        <f t="shared" si="16"/>
        <v>0.12456115393737394</v>
      </c>
      <c r="I60" s="207" t="s">
        <v>246</v>
      </c>
      <c r="W60" s="66"/>
      <c r="X60" s="67"/>
      <c r="Y60" s="68"/>
      <c r="Z60" s="68"/>
      <c r="AA60" s="68"/>
      <c r="AB60" s="380"/>
      <c r="AC60" s="367"/>
      <c r="AD60" s="367"/>
    </row>
    <row r="61" spans="1:44" ht="14.25" customHeight="1" x14ac:dyDescent="0.3">
      <c r="G61" s="198">
        <f>M22</f>
        <v>7.4363079092727907E-2</v>
      </c>
      <c r="H61" s="203">
        <f t="shared" si="16"/>
        <v>2.1024131651998916E-3</v>
      </c>
      <c r="I61" s="199"/>
    </row>
    <row r="62" spans="1:44" ht="14.25" customHeight="1" x14ac:dyDescent="0.3">
      <c r="G62" s="198">
        <f>M26</f>
        <v>0.17543711445098745</v>
      </c>
      <c r="H62" s="203">
        <f t="shared" si="16"/>
        <v>4.960005739225848E-3</v>
      </c>
      <c r="I62" s="199"/>
    </row>
    <row r="63" spans="1:44" ht="14.25" customHeight="1" x14ac:dyDescent="0.3">
      <c r="G63" s="198">
        <f>M30</f>
        <v>0.453467187396563</v>
      </c>
      <c r="H63" s="203">
        <f t="shared" si="16"/>
        <v>1.2820547459847349E-2</v>
      </c>
      <c r="I63" s="199"/>
    </row>
    <row r="64" spans="1:44" ht="14.25" customHeight="1" x14ac:dyDescent="0.3">
      <c r="G64" s="199">
        <f>R12</f>
        <v>0</v>
      </c>
      <c r="H64" s="203">
        <f t="shared" si="16"/>
        <v>0</v>
      </c>
      <c r="I64" s="199"/>
    </row>
    <row r="65" spans="7:9" ht="14.25" customHeight="1" x14ac:dyDescent="0.3">
      <c r="G65" s="199">
        <f t="shared" ref="G65:G68" si="17">R13</f>
        <v>0</v>
      </c>
      <c r="H65" s="203">
        <f t="shared" si="16"/>
        <v>0</v>
      </c>
      <c r="I65" s="199"/>
    </row>
    <row r="66" spans="7:9" ht="14.25" customHeight="1" x14ac:dyDescent="0.3">
      <c r="G66" s="199">
        <f t="shared" si="17"/>
        <v>0</v>
      </c>
      <c r="H66" s="203">
        <f t="shared" si="16"/>
        <v>0</v>
      </c>
      <c r="I66" s="199"/>
    </row>
    <row r="67" spans="7:9" ht="14.25" customHeight="1" x14ac:dyDescent="0.3">
      <c r="G67" s="199">
        <f t="shared" si="17"/>
        <v>0</v>
      </c>
      <c r="H67" s="203">
        <f t="shared" si="16"/>
        <v>0</v>
      </c>
      <c r="I67" s="199"/>
    </row>
    <row r="68" spans="7:9" ht="14.25" customHeight="1" x14ac:dyDescent="0.3">
      <c r="G68" s="199">
        <f t="shared" si="17"/>
        <v>0</v>
      </c>
      <c r="H68" s="203">
        <f t="shared" si="16"/>
        <v>0</v>
      </c>
      <c r="I68" s="199"/>
    </row>
    <row r="69" spans="7:9" ht="14.25" customHeight="1" x14ac:dyDescent="0.3">
      <c r="G69" s="198">
        <f>AA4</f>
        <v>2.1999949951588243E-4</v>
      </c>
      <c r="H69" s="203">
        <f t="shared" si="16"/>
        <v>6.2198855905740715E-6</v>
      </c>
      <c r="I69" s="199"/>
    </row>
    <row r="70" spans="7:9" ht="14.25" customHeight="1" x14ac:dyDescent="0.3">
      <c r="G70" s="198">
        <f t="shared" ref="G70:G71" si="18">AA5</f>
        <v>4.9233347995195961E-3</v>
      </c>
      <c r="H70" s="203">
        <f t="shared" si="16"/>
        <v>1.3919385837008727E-4</v>
      </c>
      <c r="I70" s="199"/>
    </row>
    <row r="71" spans="7:9" ht="14.25" customHeight="1" x14ac:dyDescent="0.3">
      <c r="G71" s="198">
        <f t="shared" si="18"/>
        <v>0.13453572016013815</v>
      </c>
      <c r="H71" s="203">
        <f t="shared" si="16"/>
        <v>3.8036304131734539E-3</v>
      </c>
      <c r="I71" s="199"/>
    </row>
    <row r="72" spans="7:9" ht="14.25" customHeight="1" x14ac:dyDescent="0.3">
      <c r="G72" s="198">
        <f>AA8</f>
        <v>1.5576515096392234E-3</v>
      </c>
      <c r="H72" s="203">
        <f t="shared" si="16"/>
        <v>4.4038346456517827E-5</v>
      </c>
      <c r="I72" s="199"/>
    </row>
    <row r="73" spans="7:9" ht="14.25" customHeight="1" x14ac:dyDescent="0.3">
      <c r="G73" s="198">
        <f>AA9</f>
        <v>3.4858442404671862E-2</v>
      </c>
      <c r="H73" s="203">
        <f t="shared" si="16"/>
        <v>9.8552734937936608E-4</v>
      </c>
      <c r="I73" s="199"/>
    </row>
    <row r="74" spans="7:9" ht="14.25" customHeight="1" x14ac:dyDescent="0.3">
      <c r="G74" s="198">
        <f>AA10</f>
        <v>0.95254656519212</v>
      </c>
      <c r="H74" s="203">
        <f t="shared" si="16"/>
        <v>2.6930655152520331E-2</v>
      </c>
      <c r="I74" s="199"/>
    </row>
    <row r="75" spans="7:9" ht="14.25" customHeight="1" x14ac:dyDescent="0.3">
      <c r="G75" s="198">
        <f>AA12</f>
        <v>3.790370036284267E-4</v>
      </c>
      <c r="H75" s="203">
        <f t="shared" si="16"/>
        <v>1.0716237093042221E-5</v>
      </c>
      <c r="I75" s="199"/>
    </row>
    <row r="76" spans="7:9" ht="14.25" customHeight="1" x14ac:dyDescent="0.3">
      <c r="G76" s="198">
        <f>AA13</f>
        <v>8.4824105253691606E-3</v>
      </c>
      <c r="H76" s="203">
        <f t="shared" si="16"/>
        <v>2.3981701374856359E-4</v>
      </c>
      <c r="I76" s="199"/>
    </row>
    <row r="77" spans="7:9" ht="14.25" customHeight="1" x14ac:dyDescent="0.3">
      <c r="G77" s="198">
        <f>AA14</f>
        <v>0.23179151026573069</v>
      </c>
      <c r="H77" s="203">
        <f t="shared" si="16"/>
        <v>6.5532725205819774E-3</v>
      </c>
      <c r="I77" s="199"/>
    </row>
    <row r="78" spans="7:9" ht="14.25" customHeight="1" x14ac:dyDescent="0.3">
      <c r="G78" s="198">
        <f>AA18</f>
        <v>3.8891756572145601E-2</v>
      </c>
      <c r="H78" s="203">
        <f t="shared" si="16"/>
        <v>1.0995583027575899E-3</v>
      </c>
      <c r="I78" s="199"/>
    </row>
    <row r="79" spans="7:9" ht="14.25" customHeight="1" x14ac:dyDescent="0.3">
      <c r="G79" s="198">
        <f>AA19</f>
        <v>0.87035260974430573</v>
      </c>
      <c r="H79" s="203">
        <f t="shared" si="16"/>
        <v>2.4606845324556429E-2</v>
      </c>
      <c r="I79" s="199"/>
    </row>
    <row r="80" spans="7:9" ht="14.25" customHeight="1" x14ac:dyDescent="0.3">
      <c r="G80" s="205">
        <f>AA20</f>
        <v>23.783374463307158</v>
      </c>
      <c r="H80" s="206">
        <f t="shared" si="16"/>
        <v>0.67241002113676196</v>
      </c>
      <c r="I80" s="207" t="s">
        <v>245</v>
      </c>
    </row>
    <row r="81" spans="7:9" ht="14.25" customHeight="1" x14ac:dyDescent="0.3">
      <c r="G81" s="198">
        <f>AA22</f>
        <v>6.5643692636420457E-4</v>
      </c>
      <c r="H81" s="203">
        <f t="shared" si="16"/>
        <v>1.855896303581676E-5</v>
      </c>
      <c r="I81" s="199"/>
    </row>
    <row r="82" spans="7:9" ht="14.25" customHeight="1" x14ac:dyDescent="0.3">
      <c r="G82" s="198">
        <f>AA23</f>
        <v>1.4690300525093937E-2</v>
      </c>
      <c r="H82" s="203">
        <f t="shared" si="16"/>
        <v>4.153281655562952E-4</v>
      </c>
      <c r="I82" s="199"/>
    </row>
    <row r="83" spans="7:9" ht="14.25" customHeight="1" x14ac:dyDescent="0.3">
      <c r="G83" s="198">
        <f>AA24</f>
        <v>0.40142916153197966</v>
      </c>
      <c r="H83" s="203">
        <f t="shared" si="16"/>
        <v>1.134931426182057E-2</v>
      </c>
      <c r="I83" s="199"/>
    </row>
    <row r="84" spans="7:9" ht="14.25" customHeight="1" x14ac:dyDescent="0.3">
      <c r="G84" s="198">
        <f>AA26</f>
        <v>1.5486636861392878E-3</v>
      </c>
      <c r="H84" s="203">
        <f t="shared" si="16"/>
        <v>4.3784240269908813E-5</v>
      </c>
      <c r="I84" s="199"/>
    </row>
    <row r="85" spans="7:9" ht="14.25" customHeight="1" x14ac:dyDescent="0.3">
      <c r="G85" s="198">
        <f>AA27</f>
        <v>3.4657305291603206E-2</v>
      </c>
      <c r="H85" s="203">
        <f t="shared" si="16"/>
        <v>9.7984074630045725E-4</v>
      </c>
      <c r="I85" s="199"/>
    </row>
    <row r="86" spans="7:9" ht="14.25" customHeight="1" x14ac:dyDescent="0.3">
      <c r="G86" s="198">
        <f>AA28</f>
        <v>0.94705026492826982</v>
      </c>
      <c r="H86" s="203">
        <f t="shared" si="16"/>
        <v>2.6775262258955487E-2</v>
      </c>
      <c r="I86" s="199"/>
    </row>
    <row r="87" spans="7:9" ht="14.25" customHeight="1" x14ac:dyDescent="0.3">
      <c r="G87" s="198">
        <f>AA30</f>
        <v>4.0029623616100454E-3</v>
      </c>
      <c r="H87" s="203">
        <f t="shared" si="16"/>
        <v>1.1317283888089581E-4</v>
      </c>
      <c r="I87" s="199"/>
    </row>
    <row r="88" spans="7:9" ht="14.25" customHeight="1" x14ac:dyDescent="0.3">
      <c r="G88" s="198">
        <f>AA31</f>
        <v>8.9581676046763481E-2</v>
      </c>
      <c r="H88" s="203">
        <f t="shared" si="16"/>
        <v>2.5326774708526716E-3</v>
      </c>
      <c r="I88" s="199"/>
    </row>
    <row r="89" spans="7:9" ht="14.25" customHeight="1" x14ac:dyDescent="0.3">
      <c r="G89" s="205">
        <f>AA32</f>
        <v>2.4479211329035584</v>
      </c>
      <c r="H89" s="206">
        <f t="shared" si="16"/>
        <v>6.920829099572294E-2</v>
      </c>
      <c r="I89" s="207" t="s">
        <v>247</v>
      </c>
    </row>
    <row r="90" spans="7:9" ht="14.25" customHeight="1" x14ac:dyDescent="0.3">
      <c r="G90" s="208">
        <f>SUM(G53:G89)</f>
        <v>35.370345050925174</v>
      </c>
      <c r="H90" s="204">
        <f>SUM(H53:H89)</f>
        <v>1.0000000000000002</v>
      </c>
      <c r="I90" s="186"/>
    </row>
    <row r="91" spans="7:9" ht="14.25" customHeight="1" x14ac:dyDescent="0.3"/>
    <row r="92" spans="7:9" ht="14.25" customHeight="1" x14ac:dyDescent="0.3"/>
    <row r="93" spans="7:9" ht="14.25" customHeight="1" x14ac:dyDescent="0.3"/>
    <row r="94" spans="7:9" ht="14.25" customHeight="1" x14ac:dyDescent="0.3"/>
    <row r="95" spans="7:9" ht="14.25" customHeight="1" x14ac:dyDescent="0.3"/>
    <row r="96" spans="7:9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63">
    <mergeCell ref="AM2:AM3"/>
    <mergeCell ref="AN2:AN3"/>
    <mergeCell ref="A39:A49"/>
    <mergeCell ref="B39:B49"/>
    <mergeCell ref="U2:U3"/>
    <mergeCell ref="V2:V3"/>
    <mergeCell ref="E2:E3"/>
    <mergeCell ref="F2:F3"/>
    <mergeCell ref="A4:A7"/>
    <mergeCell ref="B4:B7"/>
    <mergeCell ref="A30:A38"/>
    <mergeCell ref="B30:B38"/>
    <mergeCell ref="A12:A17"/>
    <mergeCell ref="A18:A21"/>
    <mergeCell ref="A26:A29"/>
    <mergeCell ref="B26:B29"/>
    <mergeCell ref="AQ2:AQ3"/>
    <mergeCell ref="A1:A3"/>
    <mergeCell ref="B1:B3"/>
    <mergeCell ref="C1:C3"/>
    <mergeCell ref="W1:AQ1"/>
    <mergeCell ref="K2:K3"/>
    <mergeCell ref="L2:L3"/>
    <mergeCell ref="M2:M3"/>
    <mergeCell ref="N2:N3"/>
    <mergeCell ref="O2:O3"/>
    <mergeCell ref="P2:P3"/>
    <mergeCell ref="Q2:Q3"/>
    <mergeCell ref="AF2:AF3"/>
    <mergeCell ref="AG2:AG3"/>
    <mergeCell ref="AH2:AH3"/>
    <mergeCell ref="AI2:AI3"/>
    <mergeCell ref="AR1:AR3"/>
    <mergeCell ref="D2:D3"/>
    <mergeCell ref="X2:X3"/>
    <mergeCell ref="Y2:Y3"/>
    <mergeCell ref="Z2:Z3"/>
    <mergeCell ref="AA2:AA3"/>
    <mergeCell ref="AB2:AB3"/>
    <mergeCell ref="AC2:AC3"/>
    <mergeCell ref="AJ2:AJ3"/>
    <mergeCell ref="AK2:AK3"/>
    <mergeCell ref="AL2:AL3"/>
    <mergeCell ref="AO2:AO3"/>
    <mergeCell ref="G2:G3"/>
    <mergeCell ref="H2:H3"/>
    <mergeCell ref="D1:V1"/>
    <mergeCell ref="AP2:AP3"/>
    <mergeCell ref="AB60:AD60"/>
    <mergeCell ref="AD2:AD3"/>
    <mergeCell ref="AE2:AE3"/>
    <mergeCell ref="I2:I3"/>
    <mergeCell ref="J2:J3"/>
    <mergeCell ref="S2:T2"/>
    <mergeCell ref="W2:W3"/>
    <mergeCell ref="G51:I51"/>
    <mergeCell ref="R2:R3"/>
    <mergeCell ref="A8:A11"/>
    <mergeCell ref="B8:B11"/>
    <mergeCell ref="B12:B17"/>
    <mergeCell ref="B18:B21"/>
    <mergeCell ref="A22:A25"/>
    <mergeCell ref="B22:B25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AX1015"/>
  <sheetViews>
    <sheetView topLeftCell="B28" zoomScale="63" zoomScaleNormal="85" workbookViewId="0">
      <selection activeCell="E61" sqref="E61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hidden="1" customWidth="1"/>
    <col min="4" max="4" width="23.25" customWidth="1"/>
    <col min="5" max="5" width="12.08203125" customWidth="1"/>
    <col min="6" max="6" width="9.83203125" customWidth="1"/>
    <col min="7" max="7" width="12.33203125" customWidth="1"/>
    <col min="8" max="8" width="13.33203125" customWidth="1"/>
    <col min="9" max="9" width="13.25" customWidth="1"/>
    <col min="10" max="10" width="12.08203125" customWidth="1"/>
    <col min="11" max="11" width="7.58203125" customWidth="1"/>
    <col min="12" max="12" width="9.83203125" customWidth="1"/>
    <col min="13" max="13" width="14.58203125" customWidth="1"/>
    <col min="14" max="14" width="16.83203125" customWidth="1"/>
    <col min="15" max="15" width="11.58203125" customWidth="1"/>
    <col min="16" max="16" width="10.08203125" customWidth="1"/>
    <col min="17" max="17" width="9.25" customWidth="1"/>
    <col min="18" max="18" width="14.25" customWidth="1"/>
    <col min="19" max="19" width="9" bestFit="1" customWidth="1"/>
    <col min="20" max="20" width="7.58203125" customWidth="1"/>
    <col min="21" max="22" width="7.58203125" style="264" customWidth="1"/>
    <col min="23" max="23" width="11.58203125" customWidth="1"/>
    <col min="24" max="24" width="13.58203125" customWidth="1"/>
    <col min="25" max="25" width="11.08203125" customWidth="1"/>
    <col min="26" max="26" width="11.58203125" customWidth="1"/>
    <col min="27" max="27" width="13.83203125" customWidth="1"/>
    <col min="28" max="28" width="22.58203125" customWidth="1"/>
    <col min="29" max="29" width="14.08203125" customWidth="1"/>
    <col min="30" max="30" width="7.58203125" customWidth="1"/>
    <col min="31" max="31" width="10" customWidth="1"/>
    <col min="32" max="32" width="8.4140625" bestFit="1" customWidth="1"/>
    <col min="33" max="33" width="7.58203125" customWidth="1"/>
    <col min="34" max="34" width="9" style="264" bestFit="1" customWidth="1"/>
    <col min="35" max="35" width="12.9140625" style="264" customWidth="1"/>
    <col min="36" max="36" width="10.83203125" customWidth="1"/>
    <col min="37" max="37" width="9" bestFit="1" customWidth="1"/>
    <col min="38" max="38" width="7.58203125" customWidth="1"/>
    <col min="39" max="39" width="8.4140625" style="264" bestFit="1" customWidth="1"/>
    <col min="40" max="40" width="12.9140625" style="264" customWidth="1"/>
    <col min="41" max="41" width="14.33203125" customWidth="1"/>
    <col min="42" max="43" width="7.58203125" customWidth="1"/>
    <col min="44" max="44" width="22" customWidth="1"/>
  </cols>
  <sheetData>
    <row r="1" spans="1:44" ht="14.25" customHeight="1" x14ac:dyDescent="0.3">
      <c r="A1" s="352" t="s">
        <v>0</v>
      </c>
      <c r="B1" s="352" t="s">
        <v>1</v>
      </c>
      <c r="C1" s="355" t="s">
        <v>2</v>
      </c>
      <c r="D1" s="382" t="s">
        <v>3</v>
      </c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4"/>
      <c r="W1" s="377" t="s">
        <v>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4" t="s">
        <v>5</v>
      </c>
    </row>
    <row r="2" spans="1:44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85</v>
      </c>
      <c r="H2" s="375" t="s">
        <v>86</v>
      </c>
      <c r="I2" s="375" t="s">
        <v>9</v>
      </c>
      <c r="J2" s="375" t="s">
        <v>7</v>
      </c>
      <c r="K2" s="375" t="s">
        <v>8</v>
      </c>
      <c r="L2" s="375" t="s">
        <v>85</v>
      </c>
      <c r="M2" s="375" t="s">
        <v>86</v>
      </c>
      <c r="N2" s="375" t="s">
        <v>10</v>
      </c>
      <c r="O2" s="375" t="s">
        <v>7</v>
      </c>
      <c r="P2" s="375" t="s">
        <v>8</v>
      </c>
      <c r="Q2" s="375" t="s">
        <v>85</v>
      </c>
      <c r="R2" s="375" t="s">
        <v>86</v>
      </c>
      <c r="S2" s="373" t="s">
        <v>11</v>
      </c>
      <c r="T2" s="372"/>
      <c r="U2" s="375" t="s">
        <v>85</v>
      </c>
      <c r="V2" s="375" t="s">
        <v>86</v>
      </c>
      <c r="W2" s="362" t="s">
        <v>12</v>
      </c>
      <c r="X2" s="362" t="s">
        <v>7</v>
      </c>
      <c r="Y2" s="362" t="s">
        <v>8</v>
      </c>
      <c r="Z2" s="362" t="s">
        <v>85</v>
      </c>
      <c r="AA2" s="362" t="s">
        <v>86</v>
      </c>
      <c r="AB2" s="362" t="s">
        <v>13</v>
      </c>
      <c r="AC2" s="362" t="s">
        <v>7</v>
      </c>
      <c r="AD2" s="362" t="s">
        <v>8</v>
      </c>
      <c r="AE2" s="362" t="s">
        <v>14</v>
      </c>
      <c r="AF2" s="362" t="s">
        <v>7</v>
      </c>
      <c r="AG2" s="362" t="s">
        <v>8</v>
      </c>
      <c r="AH2" s="362" t="s">
        <v>85</v>
      </c>
      <c r="AI2" s="362" t="s">
        <v>86</v>
      </c>
      <c r="AJ2" s="362" t="s">
        <v>15</v>
      </c>
      <c r="AK2" s="362" t="s">
        <v>7</v>
      </c>
      <c r="AL2" s="362" t="s">
        <v>8</v>
      </c>
      <c r="AM2" s="362" t="s">
        <v>85</v>
      </c>
      <c r="AN2" s="362" t="s">
        <v>86</v>
      </c>
      <c r="AO2" s="362" t="s">
        <v>16</v>
      </c>
      <c r="AP2" s="362" t="s">
        <v>7</v>
      </c>
      <c r="AQ2" s="362" t="s">
        <v>8</v>
      </c>
      <c r="AR2" s="353"/>
    </row>
    <row r="3" spans="1:44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1" t="s">
        <v>17</v>
      </c>
      <c r="T3" s="1" t="s">
        <v>8</v>
      </c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</row>
    <row r="4" spans="1:44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2">
        <f>'Unit Fungsi'!E4</f>
        <v>9.0327994274291078E-5</v>
      </c>
      <c r="F4" s="61" t="s">
        <v>199</v>
      </c>
      <c r="G4" s="51">
        <f>CF!F3</f>
        <v>9.0400000000000002E-9</v>
      </c>
      <c r="H4" s="70">
        <f>E4*G4</f>
        <v>8.165650682395914E-13</v>
      </c>
      <c r="I4" s="5" t="s">
        <v>22</v>
      </c>
      <c r="J4" s="43">
        <f>'Unit Fungsi'!H4</f>
        <v>5.2029606346859013E-2</v>
      </c>
      <c r="K4" s="18" t="s">
        <v>203</v>
      </c>
      <c r="L4" s="44">
        <f>CF!F7</f>
        <v>6.4499999999999997E-7</v>
      </c>
      <c r="M4" s="52">
        <f>J4*L4</f>
        <v>3.3559096093724064E-8</v>
      </c>
      <c r="N4" s="7"/>
      <c r="O4" s="7"/>
      <c r="P4" s="7"/>
      <c r="Q4" s="7"/>
      <c r="R4" s="7"/>
      <c r="S4" s="7"/>
      <c r="T4" s="7"/>
      <c r="U4" s="24"/>
      <c r="V4" s="24"/>
      <c r="W4" s="8" t="s">
        <v>24</v>
      </c>
      <c r="X4" s="44">
        <f>'Unit Fungsi'!P4</f>
        <v>2.6537937215426107E-4</v>
      </c>
      <c r="Y4" s="20" t="s">
        <v>205</v>
      </c>
      <c r="Z4" s="53">
        <f>CF!F21</f>
        <v>1.55E-8</v>
      </c>
      <c r="AA4" s="54">
        <f t="shared" ref="AA4:AA6" si="0">X4*Z4</f>
        <v>4.1133802683910464E-12</v>
      </c>
      <c r="AB4" s="10" t="s">
        <v>26</v>
      </c>
      <c r="AC4" s="42">
        <f>'Unit Fungsi'!S4</f>
        <v>6.4818322919460664E-5</v>
      </c>
      <c r="AD4" s="11" t="s">
        <v>27</v>
      </c>
      <c r="AE4" s="12"/>
      <c r="AF4" s="12"/>
      <c r="AG4" s="12"/>
      <c r="AH4" s="12"/>
      <c r="AI4" s="12"/>
      <c r="AJ4" s="13"/>
      <c r="AK4" s="13"/>
      <c r="AL4" s="13"/>
      <c r="AM4" s="12"/>
      <c r="AN4" s="12"/>
      <c r="AO4" s="13"/>
      <c r="AP4" s="13"/>
      <c r="AQ4" s="13"/>
      <c r="AR4" s="14"/>
    </row>
    <row r="5" spans="1:44" ht="14.25" customHeight="1" x14ac:dyDescent="0.3">
      <c r="A5" s="353"/>
      <c r="B5" s="353"/>
      <c r="C5" s="15" t="s">
        <v>28</v>
      </c>
      <c r="D5" s="7"/>
      <c r="E5" s="45"/>
      <c r="F5" s="25"/>
      <c r="G5" s="16"/>
      <c r="H5" s="16"/>
      <c r="I5" s="7"/>
      <c r="J5" s="45"/>
      <c r="K5" s="25"/>
      <c r="L5" s="16"/>
      <c r="M5" s="16"/>
      <c r="N5" s="7"/>
      <c r="O5" s="7"/>
      <c r="P5" s="7"/>
      <c r="Q5" s="7"/>
      <c r="R5" s="7"/>
      <c r="S5" s="7"/>
      <c r="T5" s="7"/>
      <c r="U5" s="24"/>
      <c r="V5" s="24"/>
      <c r="W5" s="17" t="s">
        <v>29</v>
      </c>
      <c r="X5" s="44">
        <f>'Unit Fungsi'!P5</f>
        <v>4.0355203274750791E-3</v>
      </c>
      <c r="Y5" s="18" t="s">
        <v>206</v>
      </c>
      <c r="Z5" s="55">
        <f>CF!F22</f>
        <v>5.1399999999999997E-8</v>
      </c>
      <c r="AA5" s="56">
        <f t="shared" si="0"/>
        <v>2.0742574483221905E-10</v>
      </c>
      <c r="AB5" s="7"/>
      <c r="AC5" s="16"/>
      <c r="AD5" s="7"/>
      <c r="AE5" s="7"/>
      <c r="AF5" s="7"/>
      <c r="AG5" s="7"/>
      <c r="AH5" s="24"/>
      <c r="AI5" s="24"/>
      <c r="AJ5" s="13"/>
      <c r="AK5" s="13"/>
      <c r="AL5" s="13"/>
      <c r="AM5" s="24"/>
      <c r="AN5" s="24"/>
      <c r="AO5" s="13"/>
      <c r="AP5" s="13"/>
      <c r="AQ5" s="13"/>
      <c r="AR5" s="14"/>
    </row>
    <row r="6" spans="1:44" ht="14.25" customHeight="1" x14ac:dyDescent="0.3">
      <c r="A6" s="353"/>
      <c r="B6" s="353"/>
      <c r="C6" s="15"/>
      <c r="D6" s="7"/>
      <c r="E6" s="45"/>
      <c r="F6" s="25"/>
      <c r="G6" s="16"/>
      <c r="H6" s="16"/>
      <c r="I6" s="7"/>
      <c r="J6" s="45"/>
      <c r="K6" s="25"/>
      <c r="L6" s="16"/>
      <c r="M6" s="16"/>
      <c r="N6" s="7"/>
      <c r="O6" s="7"/>
      <c r="P6" s="7"/>
      <c r="Q6" s="7"/>
      <c r="R6" s="7"/>
      <c r="S6" s="7"/>
      <c r="T6" s="7"/>
      <c r="U6" s="24"/>
      <c r="V6" s="24"/>
      <c r="W6" s="17" t="s">
        <v>31</v>
      </c>
      <c r="X6" s="44">
        <f>'Unit Fungsi'!P6</f>
        <v>0.15772065669418306</v>
      </c>
      <c r="Y6" s="18" t="s">
        <v>207</v>
      </c>
      <c r="Z6" s="55">
        <f>CF!F23</f>
        <v>2.2700000000000001E-8</v>
      </c>
      <c r="AA6" s="56">
        <f t="shared" si="0"/>
        <v>3.5802589069579557E-9</v>
      </c>
      <c r="AB6" s="7"/>
      <c r="AC6" s="16"/>
      <c r="AD6" s="7"/>
      <c r="AE6" s="7"/>
      <c r="AF6" s="7"/>
      <c r="AG6" s="7"/>
      <c r="AH6" s="24"/>
      <c r="AI6" s="24"/>
      <c r="AJ6" s="13"/>
      <c r="AK6" s="13"/>
      <c r="AL6" s="13"/>
      <c r="AM6" s="24"/>
      <c r="AN6" s="24"/>
      <c r="AO6" s="13"/>
      <c r="AP6" s="13"/>
      <c r="AQ6" s="13"/>
      <c r="AR6" s="14"/>
    </row>
    <row r="7" spans="1:44" ht="14.25" customHeight="1" x14ac:dyDescent="0.3">
      <c r="A7" s="354"/>
      <c r="B7" s="354"/>
      <c r="C7" s="15"/>
      <c r="D7" s="7"/>
      <c r="E7" s="45"/>
      <c r="F7" s="25"/>
      <c r="G7" s="16"/>
      <c r="H7" s="16"/>
      <c r="I7" s="7"/>
      <c r="J7" s="45"/>
      <c r="K7" s="25"/>
      <c r="L7" s="16"/>
      <c r="M7" s="16"/>
      <c r="N7" s="7"/>
      <c r="O7" s="7"/>
      <c r="P7" s="7"/>
      <c r="Q7" s="7"/>
      <c r="R7" s="7"/>
      <c r="S7" s="7"/>
      <c r="T7" s="7"/>
      <c r="U7" s="24"/>
      <c r="V7" s="24"/>
      <c r="W7" s="7"/>
      <c r="X7" s="46"/>
      <c r="Y7" s="25"/>
      <c r="Z7" s="16"/>
      <c r="AA7" s="16"/>
      <c r="AB7" s="7"/>
      <c r="AC7" s="16"/>
      <c r="AD7" s="7"/>
      <c r="AE7" s="7"/>
      <c r="AF7" s="7"/>
      <c r="AG7" s="7"/>
      <c r="AH7" s="24"/>
      <c r="AI7" s="24"/>
      <c r="AJ7" s="13"/>
      <c r="AK7" s="13"/>
      <c r="AL7" s="13"/>
      <c r="AM7" s="24"/>
      <c r="AN7" s="24"/>
      <c r="AO7" s="13"/>
      <c r="AP7" s="13"/>
      <c r="AQ7" s="13"/>
      <c r="AR7" s="14"/>
    </row>
    <row r="8" spans="1:44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43">
        <f>'Unit Fungsi'!E8</f>
        <v>0.26383552526843329</v>
      </c>
      <c r="F8" s="18" t="s">
        <v>200</v>
      </c>
      <c r="G8" s="55">
        <f>CF!F4</f>
        <v>9.0400000000000002E-9</v>
      </c>
      <c r="H8" s="73">
        <f>E8*G8</f>
        <v>2.3850731484266368E-9</v>
      </c>
      <c r="I8" s="5" t="s">
        <v>22</v>
      </c>
      <c r="J8" s="43">
        <f>'Unit Fungsi'!H8</f>
        <v>0.36838263291716555</v>
      </c>
      <c r="K8" s="18" t="s">
        <v>203</v>
      </c>
      <c r="L8" s="44">
        <f>L4</f>
        <v>6.4499999999999997E-7</v>
      </c>
      <c r="M8" s="52">
        <f>J8*L8</f>
        <v>2.3760679823157177E-7</v>
      </c>
      <c r="N8" s="7"/>
      <c r="O8" s="7"/>
      <c r="P8" s="7"/>
      <c r="Q8" s="7"/>
      <c r="R8" s="7"/>
      <c r="S8" s="7"/>
      <c r="T8" s="7"/>
      <c r="U8" s="24"/>
      <c r="V8" s="24"/>
      <c r="W8" s="8" t="s">
        <v>24</v>
      </c>
      <c r="X8" s="44">
        <f>'Unit Fungsi'!P8</f>
        <v>1.8789523638591357E-3</v>
      </c>
      <c r="Y8" s="20" t="s">
        <v>205</v>
      </c>
      <c r="Z8" s="53">
        <f t="shared" ref="Z8:Z10" si="1">Z4</f>
        <v>1.55E-8</v>
      </c>
      <c r="AA8" s="54">
        <f t="shared" ref="AA8:AA10" si="2">X8*Z8</f>
        <v>2.9123761639816603E-11</v>
      </c>
      <c r="AB8" s="19" t="s">
        <v>34</v>
      </c>
      <c r="AC8" s="43">
        <f>'Unit Fungsi'!S8</f>
        <v>0.26383552526843329</v>
      </c>
      <c r="AD8" s="20" t="s">
        <v>35</v>
      </c>
      <c r="AE8" s="7"/>
      <c r="AF8" s="7"/>
      <c r="AG8" s="7"/>
      <c r="AH8" s="24"/>
      <c r="AI8" s="24"/>
      <c r="AJ8" s="13"/>
      <c r="AK8" s="13"/>
      <c r="AL8" s="13"/>
      <c r="AM8" s="24"/>
      <c r="AN8" s="24"/>
      <c r="AO8" s="13"/>
      <c r="AP8" s="13"/>
      <c r="AQ8" s="13"/>
      <c r="AR8" s="14"/>
    </row>
    <row r="9" spans="1:44" ht="14.25" customHeight="1" x14ac:dyDescent="0.3">
      <c r="A9" s="353"/>
      <c r="B9" s="353"/>
      <c r="C9" s="2" t="s">
        <v>36</v>
      </c>
      <c r="D9" s="7"/>
      <c r="E9" s="45"/>
      <c r="F9" s="25"/>
      <c r="G9" s="16"/>
      <c r="H9" s="16"/>
      <c r="I9" s="7"/>
      <c r="J9" s="45"/>
      <c r="K9" s="25"/>
      <c r="L9" s="16"/>
      <c r="M9" s="16"/>
      <c r="N9" s="7"/>
      <c r="O9" s="7"/>
      <c r="P9" s="7"/>
      <c r="Q9" s="7"/>
      <c r="R9" s="7"/>
      <c r="S9" s="7"/>
      <c r="T9" s="7"/>
      <c r="U9" s="24"/>
      <c r="V9" s="24"/>
      <c r="W9" s="17" t="s">
        <v>29</v>
      </c>
      <c r="X9" s="44">
        <f>'Unit Fungsi'!P9</f>
        <v>2.8572493774321198E-2</v>
      </c>
      <c r="Y9" s="18" t="s">
        <v>206</v>
      </c>
      <c r="Z9" s="55">
        <f t="shared" si="1"/>
        <v>5.1399999999999997E-8</v>
      </c>
      <c r="AA9" s="56">
        <f t="shared" si="2"/>
        <v>1.4686261800001095E-9</v>
      </c>
      <c r="AB9" s="21"/>
      <c r="AC9" s="16"/>
      <c r="AD9" s="21"/>
      <c r="AE9" s="7"/>
      <c r="AF9" s="7"/>
      <c r="AG9" s="7"/>
      <c r="AH9" s="24"/>
      <c r="AI9" s="24"/>
      <c r="AJ9" s="13"/>
      <c r="AK9" s="13"/>
      <c r="AL9" s="13"/>
      <c r="AM9" s="24"/>
      <c r="AN9" s="24"/>
      <c r="AO9" s="13"/>
      <c r="AP9" s="13"/>
      <c r="AQ9" s="13"/>
      <c r="AR9" s="14"/>
    </row>
    <row r="10" spans="1:44" ht="14.25" customHeight="1" x14ac:dyDescent="0.3">
      <c r="A10" s="353"/>
      <c r="B10" s="353"/>
      <c r="C10" s="2"/>
      <c r="D10" s="7"/>
      <c r="E10" s="45"/>
      <c r="F10" s="25"/>
      <c r="G10" s="16"/>
      <c r="H10" s="16"/>
      <c r="I10" s="7"/>
      <c r="J10" s="45"/>
      <c r="K10" s="25"/>
      <c r="L10" s="16"/>
      <c r="M10" s="16"/>
      <c r="N10" s="7"/>
      <c r="O10" s="7"/>
      <c r="P10" s="7"/>
      <c r="Q10" s="7"/>
      <c r="R10" s="7"/>
      <c r="S10" s="7"/>
      <c r="T10" s="7"/>
      <c r="U10" s="24"/>
      <c r="V10" s="24"/>
      <c r="W10" s="17" t="s">
        <v>31</v>
      </c>
      <c r="X10" s="44">
        <f>'Unit Fungsi'!P10</f>
        <v>1.1167017176929894</v>
      </c>
      <c r="Y10" s="18" t="s">
        <v>207</v>
      </c>
      <c r="Z10" s="55">
        <f t="shared" si="1"/>
        <v>2.2700000000000001E-8</v>
      </c>
      <c r="AA10" s="56">
        <f t="shared" si="2"/>
        <v>2.534912899163086E-8</v>
      </c>
      <c r="AB10" s="21"/>
      <c r="AC10" s="16"/>
      <c r="AD10" s="21"/>
      <c r="AE10" s="7"/>
      <c r="AF10" s="7"/>
      <c r="AG10" s="7"/>
      <c r="AH10" s="24"/>
      <c r="AI10" s="24"/>
      <c r="AJ10" s="13"/>
      <c r="AK10" s="13"/>
      <c r="AL10" s="13"/>
      <c r="AM10" s="24"/>
      <c r="AN10" s="24"/>
      <c r="AO10" s="13"/>
      <c r="AP10" s="13"/>
      <c r="AQ10" s="13"/>
      <c r="AR10" s="14"/>
    </row>
    <row r="11" spans="1:44" ht="14.25" customHeight="1" x14ac:dyDescent="0.3">
      <c r="A11" s="354"/>
      <c r="B11" s="354"/>
      <c r="C11" s="2"/>
      <c r="D11" s="7"/>
      <c r="E11" s="45"/>
      <c r="F11" s="25"/>
      <c r="G11" s="16"/>
      <c r="H11" s="16"/>
      <c r="I11" s="7"/>
      <c r="J11" s="45"/>
      <c r="K11" s="25"/>
      <c r="L11" s="16"/>
      <c r="M11" s="16"/>
      <c r="N11" s="7"/>
      <c r="O11" s="7"/>
      <c r="P11" s="7"/>
      <c r="Q11" s="7"/>
      <c r="R11" s="7"/>
      <c r="S11" s="7"/>
      <c r="T11" s="7"/>
      <c r="U11" s="24"/>
      <c r="V11" s="24"/>
      <c r="W11" s="21"/>
      <c r="X11" s="46"/>
      <c r="Y11" s="22"/>
      <c r="Z11" s="22"/>
      <c r="AA11" s="22"/>
      <c r="AB11" s="21"/>
      <c r="AC11" s="16"/>
      <c r="AD11" s="21"/>
      <c r="AE11" s="7"/>
      <c r="AF11" s="7"/>
      <c r="AG11" s="7"/>
      <c r="AH11" s="24"/>
      <c r="AI11" s="24"/>
      <c r="AJ11" s="13"/>
      <c r="AK11" s="13"/>
      <c r="AL11" s="13"/>
      <c r="AM11" s="24"/>
      <c r="AN11" s="24"/>
      <c r="AO11" s="13"/>
      <c r="AP11" s="13"/>
      <c r="AQ11" s="13"/>
      <c r="AR11" s="14"/>
    </row>
    <row r="12" spans="1:44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47">
        <f>'Unit Fungsi'!E12</f>
        <v>24.839966543981944</v>
      </c>
      <c r="F12" s="58" t="s">
        <v>201</v>
      </c>
      <c r="G12" s="58">
        <v>0</v>
      </c>
      <c r="H12" s="59">
        <f>E12*G12</f>
        <v>0</v>
      </c>
      <c r="I12" s="5" t="s">
        <v>22</v>
      </c>
      <c r="J12" s="43">
        <f>'Unit Fungsi'!H12</f>
        <v>8.9641777063480463E-2</v>
      </c>
      <c r="K12" s="18" t="s">
        <v>203</v>
      </c>
      <c r="L12" s="44">
        <f>L4</f>
        <v>6.4499999999999997E-7</v>
      </c>
      <c r="M12" s="52">
        <f>J12*L12</f>
        <v>5.7818946205944897E-8</v>
      </c>
      <c r="N12" s="10" t="s">
        <v>41</v>
      </c>
      <c r="O12" s="48">
        <f>'Unit Fungsi'!K12</f>
        <v>2.5838915890496632E-2</v>
      </c>
      <c r="P12" s="18" t="s">
        <v>203</v>
      </c>
      <c r="Q12" s="18">
        <v>0</v>
      </c>
      <c r="R12" s="60">
        <f t="shared" ref="R12:R16" si="3">O12*Q12</f>
        <v>0</v>
      </c>
      <c r="S12" s="7"/>
      <c r="T12" s="7"/>
      <c r="U12" s="24"/>
      <c r="V12" s="24"/>
      <c r="W12" s="8" t="s">
        <v>24</v>
      </c>
      <c r="X12" s="44">
        <f>'Unit Fungsi'!P12</f>
        <v>4.572219585385123E-4</v>
      </c>
      <c r="Y12" s="20" t="s">
        <v>205</v>
      </c>
      <c r="Z12" s="53">
        <f t="shared" ref="Z12:Z14" si="4">Z4</f>
        <v>1.55E-8</v>
      </c>
      <c r="AA12" s="54">
        <f t="shared" ref="AA12:AA14" si="5">X12*Z12</f>
        <v>7.0869403573469401E-12</v>
      </c>
      <c r="AB12" s="19" t="s">
        <v>43</v>
      </c>
      <c r="AC12" s="49">
        <f>'Unit Fungsi'!S12</f>
        <v>22.057890291055969</v>
      </c>
      <c r="AD12" s="20" t="s">
        <v>40</v>
      </c>
      <c r="AE12" s="7"/>
      <c r="AF12" s="7"/>
      <c r="AG12" s="7"/>
      <c r="AH12" s="24"/>
      <c r="AI12" s="24"/>
      <c r="AJ12" s="13"/>
      <c r="AK12" s="13"/>
      <c r="AL12" s="13"/>
      <c r="AM12" s="24"/>
      <c r="AN12" s="24"/>
      <c r="AO12" s="13"/>
      <c r="AP12" s="13"/>
      <c r="AQ12" s="13"/>
      <c r="AR12" s="14"/>
    </row>
    <row r="13" spans="1:44" ht="14.25" customHeight="1" x14ac:dyDescent="0.3">
      <c r="A13" s="353"/>
      <c r="B13" s="353"/>
      <c r="C13" s="10"/>
      <c r="D13" s="7"/>
      <c r="E13" s="45"/>
      <c r="F13" s="25"/>
      <c r="G13" s="16"/>
      <c r="H13" s="16"/>
      <c r="I13" s="7"/>
      <c r="J13" s="45"/>
      <c r="K13" s="25"/>
      <c r="L13" s="16"/>
      <c r="M13" s="16"/>
      <c r="N13" s="10" t="s">
        <v>44</v>
      </c>
      <c r="O13" s="48">
        <f>'Unit Fungsi'!K13</f>
        <v>3.4478466078456207E-3</v>
      </c>
      <c r="P13" s="18" t="s">
        <v>203</v>
      </c>
      <c r="Q13" s="18">
        <v>0</v>
      </c>
      <c r="R13" s="60">
        <f t="shared" si="3"/>
        <v>0</v>
      </c>
      <c r="S13" s="7"/>
      <c r="T13" s="7"/>
      <c r="U13" s="24"/>
      <c r="V13" s="24"/>
      <c r="W13" s="17" t="s">
        <v>29</v>
      </c>
      <c r="X13" s="44">
        <f>'Unit Fungsi'!P13</f>
        <v>6.9527955125976721E-3</v>
      </c>
      <c r="Y13" s="18" t="s">
        <v>206</v>
      </c>
      <c r="Z13" s="55">
        <f t="shared" si="4"/>
        <v>5.1399999999999997E-8</v>
      </c>
      <c r="AA13" s="56">
        <f t="shared" si="5"/>
        <v>3.5737368934752032E-10</v>
      </c>
      <c r="AB13" s="7"/>
      <c r="AC13" s="16"/>
      <c r="AD13" s="7"/>
      <c r="AE13" s="7"/>
      <c r="AF13" s="7"/>
      <c r="AG13" s="7"/>
      <c r="AH13" s="24"/>
      <c r="AI13" s="24"/>
      <c r="AJ13" s="13"/>
      <c r="AK13" s="13"/>
      <c r="AL13" s="13"/>
      <c r="AM13" s="24"/>
      <c r="AN13" s="24"/>
      <c r="AO13" s="13"/>
      <c r="AP13" s="13"/>
      <c r="AQ13" s="13"/>
      <c r="AR13" s="14"/>
    </row>
    <row r="14" spans="1:44" ht="14.25" customHeight="1" x14ac:dyDescent="0.3">
      <c r="A14" s="353"/>
      <c r="B14" s="353"/>
      <c r="C14" s="10"/>
      <c r="D14" s="7"/>
      <c r="E14" s="45"/>
      <c r="F14" s="25"/>
      <c r="G14" s="16"/>
      <c r="H14" s="16"/>
      <c r="I14" s="7"/>
      <c r="J14" s="45"/>
      <c r="K14" s="25"/>
      <c r="L14" s="16"/>
      <c r="M14" s="16"/>
      <c r="N14" s="10" t="s">
        <v>45</v>
      </c>
      <c r="O14" s="48">
        <f>'Unit Fungsi'!K14</f>
        <v>0.71937191858710159</v>
      </c>
      <c r="P14" s="61" t="s">
        <v>203</v>
      </c>
      <c r="Q14" s="61">
        <v>0</v>
      </c>
      <c r="R14" s="60">
        <f t="shared" si="3"/>
        <v>0</v>
      </c>
      <c r="S14" s="7"/>
      <c r="T14" s="7"/>
      <c r="U14" s="24"/>
      <c r="V14" s="24"/>
      <c r="W14" s="17" t="s">
        <v>31</v>
      </c>
      <c r="X14" s="44">
        <f>'Unit Fungsi'!P14</f>
        <v>0.27173682328925053</v>
      </c>
      <c r="Y14" s="18" t="s">
        <v>207</v>
      </c>
      <c r="Z14" s="55">
        <f t="shared" si="4"/>
        <v>2.2700000000000001E-8</v>
      </c>
      <c r="AA14" s="56">
        <f t="shared" si="5"/>
        <v>6.1684258886659873E-9</v>
      </c>
      <c r="AB14" s="7"/>
      <c r="AC14" s="16"/>
      <c r="AD14" s="7"/>
      <c r="AE14" s="7"/>
      <c r="AF14" s="7"/>
      <c r="AG14" s="7"/>
      <c r="AH14" s="24"/>
      <c r="AI14" s="24"/>
      <c r="AJ14" s="13"/>
      <c r="AK14" s="13"/>
      <c r="AL14" s="13"/>
      <c r="AM14" s="24"/>
      <c r="AN14" s="24"/>
      <c r="AO14" s="13"/>
      <c r="AP14" s="13"/>
      <c r="AQ14" s="13"/>
      <c r="AR14" s="14"/>
    </row>
    <row r="15" spans="1:44" ht="14.25" customHeight="1" x14ac:dyDescent="0.3">
      <c r="A15" s="353"/>
      <c r="B15" s="353"/>
      <c r="C15" s="10"/>
      <c r="D15" s="7"/>
      <c r="E15" s="45"/>
      <c r="F15" s="25"/>
      <c r="G15" s="16"/>
      <c r="H15" s="16"/>
      <c r="I15" s="7"/>
      <c r="J15" s="45"/>
      <c r="K15" s="25"/>
      <c r="L15" s="16"/>
      <c r="M15" s="16"/>
      <c r="N15" s="10" t="s">
        <v>46</v>
      </c>
      <c r="O15" s="48">
        <f>'Unit Fungsi'!K15</f>
        <v>1.0797875586246475</v>
      </c>
      <c r="P15" s="61" t="s">
        <v>203</v>
      </c>
      <c r="Q15" s="61">
        <v>0</v>
      </c>
      <c r="R15" s="60">
        <f t="shared" si="3"/>
        <v>0</v>
      </c>
      <c r="S15" s="7"/>
      <c r="T15" s="7"/>
      <c r="U15" s="24"/>
      <c r="V15" s="24"/>
      <c r="W15" s="24"/>
      <c r="X15" s="16"/>
      <c r="Y15" s="25"/>
      <c r="Z15" s="25"/>
      <c r="AA15" s="25"/>
      <c r="AB15" s="7"/>
      <c r="AC15" s="16"/>
      <c r="AD15" s="7"/>
      <c r="AE15" s="7"/>
      <c r="AF15" s="7"/>
      <c r="AG15" s="7"/>
      <c r="AH15" s="24"/>
      <c r="AI15" s="24"/>
      <c r="AJ15" s="13"/>
      <c r="AK15" s="13"/>
      <c r="AL15" s="13"/>
      <c r="AM15" s="24"/>
      <c r="AN15" s="24"/>
      <c r="AO15" s="13"/>
      <c r="AP15" s="13"/>
      <c r="AQ15" s="13"/>
      <c r="AR15" s="14"/>
    </row>
    <row r="16" spans="1:44" ht="14.25" customHeight="1" x14ac:dyDescent="0.3">
      <c r="A16" s="353"/>
      <c r="B16" s="353"/>
      <c r="C16" s="10"/>
      <c r="D16" s="7"/>
      <c r="E16" s="45"/>
      <c r="F16" s="25"/>
      <c r="G16" s="16"/>
      <c r="H16" s="16"/>
      <c r="I16" s="7"/>
      <c r="J16" s="45"/>
      <c r="K16" s="25"/>
      <c r="L16" s="16"/>
      <c r="M16" s="16"/>
      <c r="N16" s="3" t="s">
        <v>47</v>
      </c>
      <c r="O16" s="48">
        <f>'Unit Fungsi'!K16</f>
        <v>3.1853188397032023E-2</v>
      </c>
      <c r="P16" s="61" t="s">
        <v>204</v>
      </c>
      <c r="Q16" s="61">
        <v>0</v>
      </c>
      <c r="R16" s="60">
        <f t="shared" si="3"/>
        <v>0</v>
      </c>
      <c r="S16" s="7"/>
      <c r="T16" s="7"/>
      <c r="U16" s="24"/>
      <c r="V16" s="24"/>
      <c r="W16" s="24"/>
      <c r="X16" s="16"/>
      <c r="Y16" s="25"/>
      <c r="Z16" s="25"/>
      <c r="AA16" s="25"/>
      <c r="AB16" s="7"/>
      <c r="AC16" s="16"/>
      <c r="AD16" s="7"/>
      <c r="AE16" s="7"/>
      <c r="AF16" s="7"/>
      <c r="AG16" s="7"/>
      <c r="AH16" s="24"/>
      <c r="AI16" s="24"/>
      <c r="AJ16" s="13"/>
      <c r="AK16" s="13"/>
      <c r="AL16" s="13"/>
      <c r="AM16" s="24"/>
      <c r="AN16" s="24"/>
      <c r="AO16" s="13"/>
      <c r="AP16" s="13"/>
      <c r="AQ16" s="13"/>
      <c r="AR16" s="14"/>
    </row>
    <row r="17" spans="1:44" ht="14.25" customHeight="1" x14ac:dyDescent="0.35">
      <c r="A17" s="354"/>
      <c r="B17" s="354"/>
      <c r="C17" s="10"/>
      <c r="D17" s="7"/>
      <c r="E17" s="45"/>
      <c r="F17" s="25"/>
      <c r="G17" s="16"/>
      <c r="H17" s="16"/>
      <c r="I17" s="7"/>
      <c r="J17" s="45"/>
      <c r="K17" s="25"/>
      <c r="L17" s="16"/>
      <c r="M17" s="16"/>
      <c r="N17" s="26"/>
      <c r="O17" s="26"/>
      <c r="P17" s="26"/>
      <c r="Q17" s="26"/>
      <c r="R17" s="26"/>
      <c r="S17" s="7"/>
      <c r="T17" s="7"/>
      <c r="U17" s="24"/>
      <c r="V17" s="24"/>
      <c r="W17" s="7"/>
      <c r="X17" s="16"/>
      <c r="Y17" s="25"/>
      <c r="Z17" s="16"/>
      <c r="AA17" s="16"/>
      <c r="AB17" s="7"/>
      <c r="AC17" s="16"/>
      <c r="AD17" s="7"/>
      <c r="AE17" s="7"/>
      <c r="AF17" s="7"/>
      <c r="AG17" s="7"/>
      <c r="AH17" s="24"/>
      <c r="AI17" s="24"/>
      <c r="AJ17" s="13"/>
      <c r="AK17" s="13"/>
      <c r="AL17" s="13"/>
      <c r="AM17" s="24"/>
      <c r="AN17" s="24"/>
      <c r="AO17" s="13"/>
      <c r="AP17" s="13"/>
      <c r="AQ17" s="13"/>
      <c r="AR17" s="14"/>
    </row>
    <row r="18" spans="1:44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43">
        <f>'Unit Fungsi'!E18</f>
        <v>24.839966543981944</v>
      </c>
      <c r="F18" s="18" t="s">
        <v>201</v>
      </c>
      <c r="G18" s="18">
        <v>0</v>
      </c>
      <c r="H18" s="60">
        <f>E18*G18</f>
        <v>0</v>
      </c>
      <c r="I18" s="3" t="s">
        <v>22</v>
      </c>
      <c r="J18" s="50">
        <f>'Unit Fungsi'!H18</f>
        <v>9.197851763478754</v>
      </c>
      <c r="K18" s="18" t="s">
        <v>203</v>
      </c>
      <c r="L18" s="51">
        <f>L4</f>
        <v>6.4499999999999997E-7</v>
      </c>
      <c r="M18" s="52">
        <f>J18*L18</f>
        <v>5.9326143874437957E-6</v>
      </c>
      <c r="N18" s="7"/>
      <c r="O18" s="7"/>
      <c r="P18" s="7"/>
      <c r="Q18" s="7"/>
      <c r="R18" s="7"/>
      <c r="S18" s="7"/>
      <c r="T18" s="7"/>
      <c r="U18" s="24"/>
      <c r="V18" s="24"/>
      <c r="W18" s="8" t="s">
        <v>24</v>
      </c>
      <c r="X18" s="44">
        <f>'Unit Fungsi'!P18</f>
        <v>4.6914061003794451E-2</v>
      </c>
      <c r="Y18" s="20" t="s">
        <v>205</v>
      </c>
      <c r="Z18" s="53">
        <f t="shared" ref="Z18:Z20" si="6">Z4</f>
        <v>1.55E-8</v>
      </c>
      <c r="AA18" s="54">
        <f t="shared" ref="AA18:AA20" si="7">X18*Z18</f>
        <v>7.2716794555881399E-10</v>
      </c>
      <c r="AB18" s="5" t="s">
        <v>50</v>
      </c>
      <c r="AC18" s="43">
        <f>'Unit Fungsi'!S18</f>
        <v>24.839966543981944</v>
      </c>
      <c r="AD18" s="6" t="s">
        <v>40</v>
      </c>
      <c r="AE18" s="7"/>
      <c r="AF18" s="7"/>
      <c r="AG18" s="7"/>
      <c r="AH18" s="24"/>
      <c r="AI18" s="24"/>
      <c r="AJ18" s="13"/>
      <c r="AK18" s="13"/>
      <c r="AL18" s="13"/>
      <c r="AM18" s="24"/>
      <c r="AN18" s="24"/>
      <c r="AO18" s="13"/>
      <c r="AP18" s="13"/>
      <c r="AQ18" s="13"/>
      <c r="AR18" s="14"/>
    </row>
    <row r="19" spans="1:44" ht="14.25" customHeight="1" x14ac:dyDescent="0.3">
      <c r="A19" s="353"/>
      <c r="B19" s="353"/>
      <c r="C19" s="14" t="s">
        <v>51</v>
      </c>
      <c r="D19" s="7"/>
      <c r="E19" s="16"/>
      <c r="F19" s="25"/>
      <c r="G19" s="16"/>
      <c r="H19" s="16"/>
      <c r="I19" s="7"/>
      <c r="J19" s="45"/>
      <c r="K19" s="25"/>
      <c r="L19" s="16"/>
      <c r="M19" s="16"/>
      <c r="N19" s="7"/>
      <c r="O19" s="7"/>
      <c r="P19" s="7"/>
      <c r="Q19" s="7"/>
      <c r="R19" s="7"/>
      <c r="S19" s="7"/>
      <c r="T19" s="7"/>
      <c r="U19" s="24"/>
      <c r="V19" s="24"/>
      <c r="W19" s="17" t="s">
        <v>29</v>
      </c>
      <c r="X19" s="44">
        <f>'Unit Fungsi'!P19</f>
        <v>0.7134037784789391</v>
      </c>
      <c r="Y19" s="18" t="s">
        <v>206</v>
      </c>
      <c r="Z19" s="55">
        <f t="shared" si="6"/>
        <v>5.1399999999999997E-8</v>
      </c>
      <c r="AA19" s="56">
        <f t="shared" si="7"/>
        <v>3.6668954213817467E-8</v>
      </c>
      <c r="AB19" s="7"/>
      <c r="AC19" s="16"/>
      <c r="AD19" s="7"/>
      <c r="AE19" s="7"/>
      <c r="AF19" s="7"/>
      <c r="AG19" s="7"/>
      <c r="AH19" s="24"/>
      <c r="AI19" s="24"/>
      <c r="AJ19" s="13"/>
      <c r="AK19" s="13"/>
      <c r="AL19" s="13"/>
      <c r="AM19" s="24"/>
      <c r="AN19" s="24"/>
      <c r="AO19" s="13"/>
      <c r="AP19" s="13"/>
      <c r="AQ19" s="13"/>
      <c r="AR19" s="14"/>
    </row>
    <row r="20" spans="1:44" ht="14.25" customHeight="1" x14ac:dyDescent="0.3">
      <c r="A20" s="353"/>
      <c r="B20" s="353"/>
      <c r="C20" s="14"/>
      <c r="D20" s="7"/>
      <c r="E20" s="16"/>
      <c r="F20" s="25"/>
      <c r="G20" s="16"/>
      <c r="H20" s="16"/>
      <c r="I20" s="7"/>
      <c r="J20" s="45"/>
      <c r="K20" s="25"/>
      <c r="L20" s="16"/>
      <c r="M20" s="16"/>
      <c r="N20" s="7"/>
      <c r="O20" s="7"/>
      <c r="P20" s="7"/>
      <c r="Q20" s="7"/>
      <c r="R20" s="7"/>
      <c r="S20" s="7"/>
      <c r="T20" s="7"/>
      <c r="U20" s="24"/>
      <c r="V20" s="24"/>
      <c r="W20" s="17" t="s">
        <v>31</v>
      </c>
      <c r="X20" s="44">
        <f>'Unit Fungsi'!P20</f>
        <v>27.882033368472637</v>
      </c>
      <c r="Y20" s="18" t="s">
        <v>207</v>
      </c>
      <c r="Z20" s="55">
        <f t="shared" si="6"/>
        <v>2.2700000000000001E-8</v>
      </c>
      <c r="AA20" s="56">
        <f t="shared" si="7"/>
        <v>6.3292215746432887E-7</v>
      </c>
      <c r="AB20" s="7"/>
      <c r="AC20" s="16"/>
      <c r="AD20" s="7"/>
      <c r="AE20" s="7"/>
      <c r="AF20" s="7"/>
      <c r="AG20" s="7"/>
      <c r="AH20" s="24"/>
      <c r="AI20" s="24"/>
      <c r="AJ20" s="13"/>
      <c r="AK20" s="13"/>
      <c r="AL20" s="13"/>
      <c r="AM20" s="24"/>
      <c r="AN20" s="24"/>
      <c r="AO20" s="13"/>
      <c r="AP20" s="13"/>
      <c r="AQ20" s="13"/>
      <c r="AR20" s="14"/>
    </row>
    <row r="21" spans="1:44" ht="14.25" customHeight="1" x14ac:dyDescent="0.3">
      <c r="A21" s="354"/>
      <c r="B21" s="354"/>
      <c r="C21" s="14"/>
      <c r="D21" s="7"/>
      <c r="E21" s="16"/>
      <c r="F21" s="25"/>
      <c r="G21" s="16"/>
      <c r="H21" s="16"/>
      <c r="I21" s="7"/>
      <c r="J21" s="45"/>
      <c r="K21" s="25"/>
      <c r="L21" s="16"/>
      <c r="M21" s="16"/>
      <c r="N21" s="7"/>
      <c r="O21" s="7"/>
      <c r="P21" s="7"/>
      <c r="Q21" s="7"/>
      <c r="R21" s="7"/>
      <c r="S21" s="7"/>
      <c r="T21" s="7"/>
      <c r="U21" s="24"/>
      <c r="V21" s="24"/>
      <c r="W21" s="7"/>
      <c r="X21" s="46"/>
      <c r="Y21" s="25"/>
      <c r="Z21" s="16"/>
      <c r="AA21" s="16"/>
      <c r="AB21" s="7"/>
      <c r="AC21" s="16"/>
      <c r="AD21" s="7"/>
      <c r="AE21" s="7"/>
      <c r="AF21" s="7"/>
      <c r="AG21" s="7"/>
      <c r="AH21" s="24"/>
      <c r="AI21" s="24"/>
      <c r="AJ21" s="13"/>
      <c r="AK21" s="13"/>
      <c r="AL21" s="13"/>
      <c r="AM21" s="24"/>
      <c r="AN21" s="24"/>
      <c r="AO21" s="13"/>
      <c r="AP21" s="13"/>
      <c r="AQ21" s="13"/>
      <c r="AR21" s="14"/>
    </row>
    <row r="22" spans="1:44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f>'Unit Fungsi'!E22</f>
        <v>1</v>
      </c>
      <c r="F22" s="18" t="s">
        <v>202</v>
      </c>
      <c r="G22" s="44">
        <f>CF!F6</f>
        <v>1.7499999999999998E-11</v>
      </c>
      <c r="H22" s="52">
        <f>E22*G22</f>
        <v>1.7499999999999998E-11</v>
      </c>
      <c r="I22" s="3" t="s">
        <v>22</v>
      </c>
      <c r="J22" s="48">
        <f>'Unit Fungsi'!H22</f>
        <v>0.15524651167584114</v>
      </c>
      <c r="K22" s="18" t="s">
        <v>203</v>
      </c>
      <c r="L22" s="51">
        <f>L4</f>
        <v>6.4499999999999997E-7</v>
      </c>
      <c r="M22" s="52">
        <f>J22*L22</f>
        <v>1.0013400003091752E-7</v>
      </c>
      <c r="N22" s="7"/>
      <c r="O22" s="7"/>
      <c r="P22" s="7"/>
      <c r="Q22" s="7"/>
      <c r="R22" s="7"/>
      <c r="S22" s="7"/>
      <c r="T22" s="7"/>
      <c r="U22" s="24"/>
      <c r="V22" s="24"/>
      <c r="W22" s="8" t="s">
        <v>24</v>
      </c>
      <c r="X22" s="44">
        <f>'Unit Fungsi'!P22</f>
        <v>7.9184188946224924E-4</v>
      </c>
      <c r="Y22" s="20" t="s">
        <v>205</v>
      </c>
      <c r="Z22" s="53">
        <f t="shared" ref="Z22:Z24" si="8">Z4</f>
        <v>1.55E-8</v>
      </c>
      <c r="AA22" s="54">
        <f t="shared" ref="AA22:AA24" si="9">X22*Z22</f>
        <v>1.2273549286664863E-11</v>
      </c>
      <c r="AB22" s="17" t="s">
        <v>54</v>
      </c>
      <c r="AC22" s="6">
        <f>'Unit Fungsi'!S22</f>
        <v>1</v>
      </c>
      <c r="AD22" s="6" t="s">
        <v>55</v>
      </c>
      <c r="AE22" s="7"/>
      <c r="AF22" s="7"/>
      <c r="AG22" s="7"/>
      <c r="AH22" s="24"/>
      <c r="AI22" s="24"/>
      <c r="AJ22" s="13"/>
      <c r="AK22" s="13"/>
      <c r="AL22" s="13"/>
      <c r="AM22" s="24"/>
      <c r="AN22" s="24"/>
      <c r="AO22" s="13"/>
      <c r="AP22" s="13"/>
      <c r="AQ22" s="13"/>
      <c r="AR22" s="14"/>
    </row>
    <row r="23" spans="1:44" ht="14.25" customHeight="1" x14ac:dyDescent="0.3">
      <c r="A23" s="353"/>
      <c r="B23" s="353"/>
      <c r="C23" s="28"/>
      <c r="D23" s="7"/>
      <c r="E23" s="16"/>
      <c r="F23" s="25"/>
      <c r="G23" s="16"/>
      <c r="H23" s="16"/>
      <c r="I23" s="7"/>
      <c r="J23" s="45"/>
      <c r="K23" s="25"/>
      <c r="L23" s="16"/>
      <c r="M23" s="16"/>
      <c r="N23" s="7"/>
      <c r="O23" s="7"/>
      <c r="P23" s="7"/>
      <c r="Q23" s="7"/>
      <c r="R23" s="7"/>
      <c r="S23" s="7"/>
      <c r="T23" s="7"/>
      <c r="U23" s="24"/>
      <c r="V23" s="24"/>
      <c r="W23" s="17" t="s">
        <v>29</v>
      </c>
      <c r="X23" s="44">
        <f>'Unit Fungsi'!P23</f>
        <v>1.2041229938601588E-2</v>
      </c>
      <c r="Y23" s="18" t="s">
        <v>206</v>
      </c>
      <c r="Z23" s="55">
        <f t="shared" si="8"/>
        <v>5.1399999999999997E-8</v>
      </c>
      <c r="AA23" s="56">
        <f t="shared" si="9"/>
        <v>6.189192188441216E-10</v>
      </c>
      <c r="AB23" s="24"/>
      <c r="AC23" s="16"/>
      <c r="AD23" s="16"/>
      <c r="AE23" s="7"/>
      <c r="AF23" s="7"/>
      <c r="AG23" s="7"/>
      <c r="AH23" s="24"/>
      <c r="AI23" s="24"/>
      <c r="AJ23" s="13"/>
      <c r="AK23" s="13"/>
      <c r="AL23" s="13"/>
      <c r="AM23" s="24"/>
      <c r="AN23" s="24"/>
      <c r="AO23" s="13"/>
      <c r="AP23" s="13"/>
      <c r="AQ23" s="13"/>
      <c r="AR23" s="14"/>
    </row>
    <row r="24" spans="1:44" ht="14.25" customHeight="1" x14ac:dyDescent="0.3">
      <c r="A24" s="353"/>
      <c r="B24" s="353"/>
      <c r="C24" s="28"/>
      <c r="D24" s="7"/>
      <c r="E24" s="16"/>
      <c r="F24" s="25"/>
      <c r="G24" s="16"/>
      <c r="H24" s="16"/>
      <c r="I24" s="7"/>
      <c r="J24" s="45"/>
      <c r="K24" s="25"/>
      <c r="L24" s="16"/>
      <c r="M24" s="16"/>
      <c r="N24" s="7"/>
      <c r="O24" s="7"/>
      <c r="P24" s="7"/>
      <c r="Q24" s="7"/>
      <c r="R24" s="7"/>
      <c r="S24" s="7"/>
      <c r="T24" s="7"/>
      <c r="U24" s="24"/>
      <c r="V24" s="24"/>
      <c r="W24" s="17" t="s">
        <v>31</v>
      </c>
      <c r="X24" s="44">
        <f>'Unit Fungsi'!P24</f>
        <v>0.47060863016644744</v>
      </c>
      <c r="Y24" s="18" t="s">
        <v>207</v>
      </c>
      <c r="Z24" s="55">
        <f t="shared" si="8"/>
        <v>2.2700000000000001E-8</v>
      </c>
      <c r="AA24" s="56">
        <f t="shared" si="9"/>
        <v>1.0682815904778357E-8</v>
      </c>
      <c r="AB24" s="24"/>
      <c r="AC24" s="16"/>
      <c r="AD24" s="16"/>
      <c r="AE24" s="7"/>
      <c r="AF24" s="7"/>
      <c r="AG24" s="7"/>
      <c r="AH24" s="24"/>
      <c r="AI24" s="24"/>
      <c r="AJ24" s="13"/>
      <c r="AK24" s="13"/>
      <c r="AL24" s="13"/>
      <c r="AM24" s="24"/>
      <c r="AN24" s="24"/>
      <c r="AO24" s="13"/>
      <c r="AP24" s="13"/>
      <c r="AQ24" s="13"/>
      <c r="AR24" s="14"/>
    </row>
    <row r="25" spans="1:44" ht="14.25" customHeight="1" x14ac:dyDescent="0.3">
      <c r="A25" s="354"/>
      <c r="B25" s="354"/>
      <c r="C25" s="28"/>
      <c r="D25" s="7"/>
      <c r="E25" s="16"/>
      <c r="F25" s="25"/>
      <c r="G25" s="16"/>
      <c r="H25" s="16"/>
      <c r="I25" s="7"/>
      <c r="J25" s="45"/>
      <c r="K25" s="25"/>
      <c r="L25" s="16"/>
      <c r="M25" s="16"/>
      <c r="N25" s="7"/>
      <c r="O25" s="7"/>
      <c r="P25" s="7"/>
      <c r="Q25" s="7"/>
      <c r="R25" s="7"/>
      <c r="S25" s="7"/>
      <c r="T25" s="7"/>
      <c r="U25" s="24"/>
      <c r="V25" s="24"/>
      <c r="W25" s="7"/>
      <c r="X25" s="46"/>
      <c r="Y25" s="25"/>
      <c r="Z25" s="16"/>
      <c r="AA25" s="16"/>
      <c r="AB25" s="24"/>
      <c r="AC25" s="16"/>
      <c r="AD25" s="16"/>
      <c r="AE25" s="7"/>
      <c r="AF25" s="7"/>
      <c r="AG25" s="7"/>
      <c r="AH25" s="24"/>
      <c r="AI25" s="24"/>
      <c r="AJ25" s="13"/>
      <c r="AK25" s="13"/>
      <c r="AL25" s="13"/>
      <c r="AM25" s="24"/>
      <c r="AN25" s="24"/>
      <c r="AO25" s="13"/>
      <c r="AP25" s="13"/>
      <c r="AQ25" s="13"/>
      <c r="AR25" s="14"/>
    </row>
    <row r="26" spans="1:44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'Unit Fungsi'!E26</f>
        <v>1</v>
      </c>
      <c r="F26" s="18" t="s">
        <v>202</v>
      </c>
      <c r="G26" s="44">
        <f>G22</f>
        <v>1.7499999999999998E-11</v>
      </c>
      <c r="H26" s="52">
        <f>E26*G26</f>
        <v>1.7499999999999998E-11</v>
      </c>
      <c r="I26" s="3" t="s">
        <v>22</v>
      </c>
      <c r="J26" s="48">
        <f>'Unit Fungsi'!H26</f>
        <v>0.3662570239060281</v>
      </c>
      <c r="K26" s="18" t="s">
        <v>203</v>
      </c>
      <c r="L26" s="51">
        <f>L4</f>
        <v>6.4499999999999997E-7</v>
      </c>
      <c r="M26" s="52">
        <f>J26*L26</f>
        <v>2.3623578041938811E-7</v>
      </c>
      <c r="N26" s="7"/>
      <c r="O26" s="7"/>
      <c r="P26" s="7"/>
      <c r="Q26" s="7"/>
      <c r="R26" s="7"/>
      <c r="S26" s="7"/>
      <c r="T26" s="7"/>
      <c r="U26" s="24"/>
      <c r="V26" s="24"/>
      <c r="W26" s="8" t="s">
        <v>24</v>
      </c>
      <c r="X26" s="44">
        <f>'Unit Fungsi'!P26</f>
        <v>1.8681105984792374E-3</v>
      </c>
      <c r="Y26" s="20" t="s">
        <v>205</v>
      </c>
      <c r="Z26" s="53">
        <f t="shared" ref="Z26:Z28" si="10">Z4</f>
        <v>1.55E-8</v>
      </c>
      <c r="AA26" s="54">
        <f t="shared" ref="AA26:AA28" si="11">X26*Z26</f>
        <v>2.895571427642818E-11</v>
      </c>
      <c r="AB26" s="17" t="s">
        <v>54</v>
      </c>
      <c r="AC26" s="6">
        <f>'Unit Fungsi'!S26</f>
        <v>1</v>
      </c>
      <c r="AD26" s="6" t="s">
        <v>55</v>
      </c>
      <c r="AE26" s="7"/>
      <c r="AF26" s="7"/>
      <c r="AG26" s="7"/>
      <c r="AH26" s="24"/>
      <c r="AI26" s="24"/>
      <c r="AJ26" s="13"/>
      <c r="AK26" s="13"/>
      <c r="AL26" s="13"/>
      <c r="AM26" s="24"/>
      <c r="AN26" s="24"/>
      <c r="AO26" s="13"/>
      <c r="AP26" s="13"/>
      <c r="AQ26" s="13"/>
      <c r="AR26" s="14"/>
    </row>
    <row r="27" spans="1:44" ht="14.25" customHeight="1" x14ac:dyDescent="0.3">
      <c r="A27" s="353"/>
      <c r="B27" s="353"/>
      <c r="C27" s="28"/>
      <c r="D27" s="7"/>
      <c r="E27" s="16"/>
      <c r="F27" s="25"/>
      <c r="G27" s="16"/>
      <c r="H27" s="16"/>
      <c r="I27" s="7"/>
      <c r="J27" s="45"/>
      <c r="K27" s="25"/>
      <c r="L27" s="16"/>
      <c r="M27" s="16"/>
      <c r="N27" s="7"/>
      <c r="O27" s="7"/>
      <c r="P27" s="7"/>
      <c r="Q27" s="7"/>
      <c r="R27" s="7"/>
      <c r="S27" s="7"/>
      <c r="T27" s="7"/>
      <c r="U27" s="24"/>
      <c r="V27" s="24"/>
      <c r="W27" s="17" t="s">
        <v>29</v>
      </c>
      <c r="X27" s="44">
        <f>'Unit Fungsi'!P27</f>
        <v>2.8407627288199351E-2</v>
      </c>
      <c r="Y27" s="18" t="s">
        <v>206</v>
      </c>
      <c r="Z27" s="55">
        <f t="shared" si="10"/>
        <v>5.1399999999999997E-8</v>
      </c>
      <c r="AA27" s="56">
        <f t="shared" si="11"/>
        <v>1.4601520426134465E-9</v>
      </c>
      <c r="AB27" s="24"/>
      <c r="AC27" s="16"/>
      <c r="AD27" s="16"/>
      <c r="AE27" s="7"/>
      <c r="AF27" s="7"/>
      <c r="AG27" s="7"/>
      <c r="AH27" s="24"/>
      <c r="AI27" s="24"/>
      <c r="AJ27" s="13"/>
      <c r="AK27" s="13"/>
      <c r="AL27" s="13"/>
      <c r="AM27" s="24"/>
      <c r="AN27" s="24"/>
      <c r="AO27" s="13"/>
      <c r="AP27" s="13"/>
      <c r="AQ27" s="13"/>
      <c r="AR27" s="14"/>
    </row>
    <row r="28" spans="1:44" ht="14.25" customHeight="1" x14ac:dyDescent="0.3">
      <c r="A28" s="353"/>
      <c r="B28" s="353"/>
      <c r="C28" s="28"/>
      <c r="D28" s="7"/>
      <c r="E28" s="16"/>
      <c r="F28" s="25"/>
      <c r="G28" s="16"/>
      <c r="H28" s="16"/>
      <c r="I28" s="7"/>
      <c r="J28" s="45"/>
      <c r="K28" s="25"/>
      <c r="L28" s="16"/>
      <c r="M28" s="16"/>
      <c r="N28" s="7"/>
      <c r="O28" s="7"/>
      <c r="P28" s="7"/>
      <c r="Q28" s="7"/>
      <c r="R28" s="7"/>
      <c r="S28" s="7"/>
      <c r="T28" s="7"/>
      <c r="U28" s="24"/>
      <c r="V28" s="24"/>
      <c r="W28" s="17" t="s">
        <v>31</v>
      </c>
      <c r="X28" s="44">
        <f>'Unit Fungsi'!P28</f>
        <v>1.1102582238315004</v>
      </c>
      <c r="Y28" s="18" t="s">
        <v>207</v>
      </c>
      <c r="Z28" s="55">
        <f t="shared" si="10"/>
        <v>2.2700000000000001E-8</v>
      </c>
      <c r="AA28" s="56">
        <f t="shared" si="11"/>
        <v>2.5202861680975062E-8</v>
      </c>
      <c r="AB28" s="24"/>
      <c r="AC28" s="16"/>
      <c r="AD28" s="16"/>
      <c r="AE28" s="7"/>
      <c r="AF28" s="7"/>
      <c r="AG28" s="7"/>
      <c r="AH28" s="24"/>
      <c r="AI28" s="24"/>
      <c r="AJ28" s="13"/>
      <c r="AK28" s="13"/>
      <c r="AL28" s="13"/>
      <c r="AM28" s="24"/>
      <c r="AN28" s="24"/>
      <c r="AO28" s="13"/>
      <c r="AP28" s="13"/>
      <c r="AQ28" s="13"/>
      <c r="AR28" s="14"/>
    </row>
    <row r="29" spans="1:44" ht="14.25" customHeight="1" x14ac:dyDescent="0.3">
      <c r="A29" s="354"/>
      <c r="B29" s="354"/>
      <c r="C29" s="28"/>
      <c r="D29" s="7"/>
      <c r="E29" s="16"/>
      <c r="F29" s="25"/>
      <c r="G29" s="16"/>
      <c r="H29" s="16"/>
      <c r="I29" s="7"/>
      <c r="J29" s="45"/>
      <c r="K29" s="25"/>
      <c r="L29" s="16"/>
      <c r="M29" s="16"/>
      <c r="N29" s="7"/>
      <c r="O29" s="7"/>
      <c r="P29" s="7"/>
      <c r="Q29" s="7"/>
      <c r="R29" s="7"/>
      <c r="S29" s="7"/>
      <c r="T29" s="7"/>
      <c r="U29" s="24"/>
      <c r="V29" s="24"/>
      <c r="W29" s="7"/>
      <c r="X29" s="46"/>
      <c r="Y29" s="25"/>
      <c r="Z29" s="16"/>
      <c r="AA29" s="16"/>
      <c r="AB29" s="24"/>
      <c r="AC29" s="16"/>
      <c r="AD29" s="16"/>
      <c r="AE29" s="7"/>
      <c r="AF29" s="7"/>
      <c r="AG29" s="7"/>
      <c r="AH29" s="24"/>
      <c r="AI29" s="24"/>
      <c r="AJ29" s="13"/>
      <c r="AK29" s="13"/>
      <c r="AL29" s="13"/>
      <c r="AM29" s="24"/>
      <c r="AN29" s="24"/>
      <c r="AO29" s="13"/>
      <c r="AP29" s="13"/>
      <c r="AQ29" s="13"/>
      <c r="AR29" s="14"/>
    </row>
    <row r="30" spans="1:44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'Unit Fungsi'!E30</f>
        <v>1</v>
      </c>
      <c r="F30" s="18" t="s">
        <v>202</v>
      </c>
      <c r="G30" s="44">
        <f>G22</f>
        <v>1.7499999999999998E-11</v>
      </c>
      <c r="H30" s="52">
        <f>E30*G30</f>
        <v>1.7499999999999998E-11</v>
      </c>
      <c r="I30" s="5" t="s">
        <v>22</v>
      </c>
      <c r="J30" s="43">
        <f>'Unit Fungsi'!H30</f>
        <v>0.94669558955441135</v>
      </c>
      <c r="K30" s="18" t="s">
        <v>203</v>
      </c>
      <c r="L30" s="44">
        <f>L4</f>
        <v>6.4499999999999997E-7</v>
      </c>
      <c r="M30" s="52">
        <f>J30*L30</f>
        <v>6.1061865526259529E-7</v>
      </c>
      <c r="N30" s="7"/>
      <c r="O30" s="7"/>
      <c r="P30" s="7"/>
      <c r="Q30" s="7"/>
      <c r="R30" s="7"/>
      <c r="S30" s="7"/>
      <c r="T30" s="7"/>
      <c r="U30" s="24"/>
      <c r="V30" s="24"/>
      <c r="W30" s="8" t="s">
        <v>24</v>
      </c>
      <c r="X30" s="44">
        <f>'Unit Fungsi'!P30</f>
        <v>4.828663886139983E-3</v>
      </c>
      <c r="Y30" s="20" t="s">
        <v>205</v>
      </c>
      <c r="Z30" s="53">
        <f t="shared" ref="Z30:Z32" si="12">Z4</f>
        <v>1.55E-8</v>
      </c>
      <c r="AA30" s="54">
        <f t="shared" ref="AA30:AA32" si="13">X30*Z30</f>
        <v>7.4844290235169741E-11</v>
      </c>
      <c r="AB30" s="17" t="s">
        <v>54</v>
      </c>
      <c r="AC30" s="6">
        <f>'Unit Fungsi'!S30</f>
        <v>1</v>
      </c>
      <c r="AD30" s="6" t="s">
        <v>55</v>
      </c>
      <c r="AE30" s="7"/>
      <c r="AF30" s="7"/>
      <c r="AG30" s="7"/>
      <c r="AH30" s="24"/>
      <c r="AI30" s="24"/>
      <c r="AJ30" s="13"/>
      <c r="AK30" s="13"/>
      <c r="AL30" s="13"/>
      <c r="AM30" s="24"/>
      <c r="AN30" s="24"/>
      <c r="AO30" s="13"/>
      <c r="AP30" s="13"/>
      <c r="AQ30" s="13"/>
      <c r="AR30" s="14"/>
    </row>
    <row r="31" spans="1:44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7" t="s">
        <v>29</v>
      </c>
      <c r="X31" s="44">
        <f>'Unit Fungsi'!P31</f>
        <v>7.3427603317019252E-2</v>
      </c>
      <c r="Y31" s="18" t="s">
        <v>206</v>
      </c>
      <c r="Z31" s="55">
        <f t="shared" si="12"/>
        <v>5.1399999999999997E-8</v>
      </c>
      <c r="AA31" s="56">
        <f t="shared" si="13"/>
        <v>3.774178810494789E-9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1:44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 t="s">
        <v>31</v>
      </c>
      <c r="X32" s="44">
        <f>'Unit Fungsi'!P32</f>
        <v>2.8697785848810766</v>
      </c>
      <c r="Y32" s="18" t="s">
        <v>207</v>
      </c>
      <c r="Z32" s="55">
        <f t="shared" si="12"/>
        <v>2.2700000000000001E-8</v>
      </c>
      <c r="AA32" s="56">
        <f t="shared" si="13"/>
        <v>6.514397387680045E-8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1:50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1:50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1:50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1:50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1:50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1:50" ht="14.25" customHeight="1" x14ac:dyDescent="0.3">
      <c r="A38" s="354"/>
      <c r="B38" s="354"/>
      <c r="C38" s="29" t="s">
        <v>64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14"/>
    </row>
    <row r="39" spans="1:50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289">
        <f>'Unit Fungsi'!E39</f>
        <v>1</v>
      </c>
      <c r="F39" s="18" t="s">
        <v>202</v>
      </c>
      <c r="G39" s="18">
        <f>G30</f>
        <v>1.7499999999999998E-11</v>
      </c>
      <c r="H39" s="60">
        <f>E39*G39</f>
        <v>1.7499999999999998E-11</v>
      </c>
      <c r="I39" s="284" t="s">
        <v>22</v>
      </c>
      <c r="J39" s="291">
        <f>'Unit Fungsi'!H39</f>
        <v>0.45896578825032147</v>
      </c>
      <c r="K39" s="18" t="s">
        <v>203</v>
      </c>
      <c r="L39" s="55">
        <f>L12</f>
        <v>6.4499999999999997E-7</v>
      </c>
      <c r="M39" s="57">
        <f>J39*L39</f>
        <v>2.9603293342145732E-7</v>
      </c>
      <c r="N39" s="269"/>
      <c r="O39" s="269"/>
      <c r="P39" s="269"/>
      <c r="Q39" s="269"/>
      <c r="R39" s="269"/>
      <c r="S39" s="291">
        <f>'Unit Fungsi'!M39</f>
        <v>21.936256196726596</v>
      </c>
      <c r="T39" s="18" t="s">
        <v>203</v>
      </c>
      <c r="U39" s="293"/>
      <c r="V39" s="293"/>
      <c r="W39" s="277" t="s">
        <v>29</v>
      </c>
      <c r="X39" s="291">
        <f>'Unit Fungsi'!P39</f>
        <v>0.40990362334425118</v>
      </c>
      <c r="Y39" s="18" t="s">
        <v>206</v>
      </c>
      <c r="Z39" s="55">
        <f t="shared" ref="Z39:Z40" si="14">Z13</f>
        <v>5.1399999999999997E-8</v>
      </c>
      <c r="AA39" s="56">
        <f>X39*Z39</f>
        <v>2.106904623989451E-8</v>
      </c>
      <c r="AB39" s="17" t="s">
        <v>54</v>
      </c>
      <c r="AC39" s="264">
        <f>'Unit Fungsi'!S39</f>
        <v>1</v>
      </c>
      <c r="AD39" s="18" t="s">
        <v>55</v>
      </c>
      <c r="AE39" s="269"/>
      <c r="AF39" s="269"/>
      <c r="AG39" s="269"/>
      <c r="AH39" s="269"/>
      <c r="AI39" s="269"/>
      <c r="AJ39" s="291" t="str">
        <f>'Unit Fungsi'!X39</f>
        <v>Air Limbah</v>
      </c>
      <c r="AK39" s="292">
        <f>'Unit Fungsi'!Y39</f>
        <v>21.936256196726596</v>
      </c>
      <c r="AL39" s="277" t="s">
        <v>200</v>
      </c>
      <c r="AM39" s="292">
        <v>3.3899999999999999E-8</v>
      </c>
      <c r="AN39" s="300">
        <f>AM39*AK39</f>
        <v>7.4363908506903157E-7</v>
      </c>
      <c r="AO39" s="269"/>
      <c r="AP39" s="269"/>
      <c r="AQ39" s="269"/>
      <c r="AR39" s="277"/>
      <c r="AS39" s="292"/>
      <c r="AT39" s="292"/>
      <c r="AU39" s="288"/>
      <c r="AV39" s="288"/>
      <c r="AW39" s="288"/>
      <c r="AX39" s="287"/>
    </row>
    <row r="40" spans="1:50" s="264" customFormat="1" ht="14.25" customHeight="1" x14ac:dyDescent="0.3">
      <c r="A40" s="347"/>
      <c r="B40" s="350"/>
      <c r="C40" s="268"/>
      <c r="D40" s="284" t="s">
        <v>156</v>
      </c>
      <c r="E40" s="290">
        <f>'Unit Fungsi'!E40</f>
        <v>2.2355685488644349E-6</v>
      </c>
      <c r="F40" s="18" t="s">
        <v>202</v>
      </c>
      <c r="G40" s="293"/>
      <c r="H40" s="293"/>
      <c r="I40" s="284" t="s">
        <v>273</v>
      </c>
      <c r="J40" s="291">
        <f>'Unit Fungsi'!H40</f>
        <v>5.7370723531290184E-2</v>
      </c>
      <c r="K40" s="18" t="s">
        <v>203</v>
      </c>
      <c r="L40" s="55">
        <v>4.8583000000000006E-7</v>
      </c>
      <c r="M40" s="57">
        <f>J40*L40</f>
        <v>2.7872418613206714E-8</v>
      </c>
      <c r="N40" s="269"/>
      <c r="O40" s="269"/>
      <c r="P40" s="269"/>
      <c r="Q40" s="269"/>
      <c r="R40" s="269"/>
      <c r="S40" s="269"/>
      <c r="T40" s="269"/>
      <c r="U40" s="269"/>
      <c r="V40" s="269"/>
      <c r="W40" s="277" t="s">
        <v>31</v>
      </c>
      <c r="X40" s="291">
        <f>'Unit Fungsi'!P40</f>
        <v>0.2834240641956331</v>
      </c>
      <c r="Y40" s="18" t="s">
        <v>207</v>
      </c>
      <c r="Z40" s="55">
        <f t="shared" si="14"/>
        <v>2.2700000000000001E-8</v>
      </c>
      <c r="AA40" s="56">
        <f>X40*Z40</f>
        <v>6.4337262572408714E-9</v>
      </c>
      <c r="AB40" s="269"/>
      <c r="AC40" s="269"/>
      <c r="AD40" s="269"/>
      <c r="AE40" s="282" t="s">
        <v>195</v>
      </c>
      <c r="AF40" s="291">
        <f>'Unit Fungsi'!V40</f>
        <v>2.5277799059977782E-6</v>
      </c>
      <c r="AG40" s="279" t="s">
        <v>202</v>
      </c>
      <c r="AH40" s="298">
        <v>3E-9</v>
      </c>
      <c r="AI40" s="299">
        <f>AF40*AH40</f>
        <v>7.5833397179933342E-15</v>
      </c>
      <c r="AJ40" s="269"/>
      <c r="AK40" s="269"/>
      <c r="AL40" s="269"/>
      <c r="AM40" s="269"/>
      <c r="AN40" s="269"/>
      <c r="AO40" s="269"/>
      <c r="AP40" s="269"/>
      <c r="AQ40" s="269"/>
      <c r="AR40" s="288"/>
      <c r="AS40" s="288"/>
      <c r="AT40" s="288"/>
      <c r="AU40" s="288"/>
      <c r="AV40" s="288"/>
      <c r="AW40" s="288"/>
      <c r="AX40" s="287"/>
    </row>
    <row r="41" spans="1:50" s="264" customFormat="1" ht="14.25" customHeight="1" x14ac:dyDescent="0.3">
      <c r="A41" s="347"/>
      <c r="B41" s="350"/>
      <c r="C41" s="268"/>
      <c r="D41" s="284" t="s">
        <v>274</v>
      </c>
      <c r="E41" s="290">
        <f>'Unit Fungsi'!E41</f>
        <v>5.6919884053949107E-5</v>
      </c>
      <c r="F41" s="18" t="s">
        <v>202</v>
      </c>
      <c r="G41" s="293"/>
      <c r="H41" s="293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82" t="s">
        <v>275</v>
      </c>
      <c r="AF41" s="291">
        <f>'Unit Fungsi'!V41</f>
        <v>7.9553869134066085E-8</v>
      </c>
      <c r="AG41" s="279" t="s">
        <v>202</v>
      </c>
      <c r="AH41" s="298">
        <v>2.8700000000000002E-7</v>
      </c>
      <c r="AI41" s="299">
        <f t="shared" ref="AI41:AI48" si="15">AF41*AH41</f>
        <v>2.2831960441476968E-14</v>
      </c>
      <c r="AJ41" s="269"/>
      <c r="AK41" s="269"/>
      <c r="AL41" s="269"/>
      <c r="AM41" s="269"/>
      <c r="AN41" s="269"/>
      <c r="AO41" s="269"/>
      <c r="AP41" s="269"/>
      <c r="AQ41" s="269"/>
      <c r="AR41" s="288"/>
      <c r="AS41" s="288"/>
      <c r="AT41" s="288"/>
      <c r="AU41" s="288"/>
      <c r="AV41" s="288"/>
      <c r="AW41" s="288"/>
      <c r="AX41" s="287"/>
    </row>
    <row r="42" spans="1:50" s="264" customFormat="1" ht="14.25" customHeight="1" x14ac:dyDescent="0.3">
      <c r="A42" s="347"/>
      <c r="B42" s="350"/>
      <c r="C42" s="268"/>
      <c r="D42" s="284" t="s">
        <v>126</v>
      </c>
      <c r="E42" s="290">
        <f>'Unit Fungsi'!E42</f>
        <v>6.033037297453697E-5</v>
      </c>
      <c r="F42" s="18" t="s">
        <v>202</v>
      </c>
      <c r="G42" s="293"/>
      <c r="H42" s="293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82" t="s">
        <v>276</v>
      </c>
      <c r="AF42" s="291">
        <f>'Unit Fungsi'!V42</f>
        <v>1.4464339842557471E-6</v>
      </c>
      <c r="AG42" s="279" t="s">
        <v>202</v>
      </c>
      <c r="AH42" s="298">
        <v>3.3899999999999999E-8</v>
      </c>
      <c r="AI42" s="299">
        <f t="shared" si="15"/>
        <v>4.9034112066269824E-14</v>
      </c>
      <c r="AJ42" s="269"/>
      <c r="AK42" s="269"/>
      <c r="AL42" s="269"/>
      <c r="AM42" s="269"/>
      <c r="AN42" s="269"/>
      <c r="AO42" s="269"/>
      <c r="AP42" s="269"/>
      <c r="AQ42" s="269"/>
      <c r="AR42" s="288"/>
      <c r="AS42" s="288"/>
      <c r="AT42" s="288"/>
      <c r="AU42" s="288"/>
      <c r="AV42" s="288"/>
      <c r="AW42" s="288"/>
      <c r="AX42" s="287"/>
    </row>
    <row r="43" spans="1:50" s="264" customFormat="1" ht="14.25" customHeight="1" x14ac:dyDescent="0.3">
      <c r="A43" s="347"/>
      <c r="B43" s="350"/>
      <c r="C43" s="268"/>
      <c r="D43" s="284" t="s">
        <v>127</v>
      </c>
      <c r="E43" s="290">
        <f>'Unit Fungsi'!E43</f>
        <v>1.9306503372293342E-5</v>
      </c>
      <c r="F43" s="18" t="s">
        <v>202</v>
      </c>
      <c r="G43" s="293"/>
      <c r="H43" s="293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82" t="s">
        <v>277</v>
      </c>
      <c r="AF43" s="291">
        <f>'Unit Fungsi'!V43</f>
        <v>5.6919884053949109E-8</v>
      </c>
      <c r="AG43" s="279" t="s">
        <v>202</v>
      </c>
      <c r="AH43" s="298">
        <v>0</v>
      </c>
      <c r="AI43" s="299">
        <f t="shared" si="15"/>
        <v>0</v>
      </c>
      <c r="AJ43" s="269"/>
      <c r="AK43" s="269"/>
      <c r="AL43" s="269"/>
      <c r="AM43" s="269"/>
      <c r="AN43" s="269"/>
      <c r="AO43" s="269"/>
      <c r="AP43" s="269"/>
      <c r="AQ43" s="269"/>
      <c r="AR43" s="288"/>
      <c r="AS43" s="288"/>
      <c r="AT43" s="288"/>
      <c r="AU43" s="288"/>
      <c r="AV43" s="288"/>
      <c r="AW43" s="288"/>
      <c r="AX43" s="287"/>
    </row>
    <row r="44" spans="1:50" s="264" customFormat="1" ht="14.25" customHeight="1" x14ac:dyDescent="0.3">
      <c r="A44" s="347"/>
      <c r="B44" s="350"/>
      <c r="C44" s="268"/>
      <c r="D44" s="284" t="s">
        <v>128</v>
      </c>
      <c r="E44" s="290">
        <f>'Unit Fungsi'!E44</f>
        <v>3.6902147023324741E-3</v>
      </c>
      <c r="F44" s="18" t="s">
        <v>202</v>
      </c>
      <c r="G44" s="293"/>
      <c r="H44" s="293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82" t="s">
        <v>278</v>
      </c>
      <c r="AF44" s="291">
        <f>'Unit Fungsi'!V44</f>
        <v>6.0330372974536973E-8</v>
      </c>
      <c r="AG44" s="279" t="s">
        <v>202</v>
      </c>
      <c r="AH44" s="298">
        <v>6E-11</v>
      </c>
      <c r="AI44" s="299">
        <f t="shared" si="15"/>
        <v>3.6198223784722185E-18</v>
      </c>
      <c r="AJ44" s="269"/>
      <c r="AK44" s="269"/>
      <c r="AL44" s="269"/>
      <c r="AM44" s="269"/>
      <c r="AN44" s="269"/>
      <c r="AO44" s="269"/>
      <c r="AP44" s="269"/>
      <c r="AQ44" s="269"/>
      <c r="AR44" s="288"/>
      <c r="AS44" s="288"/>
      <c r="AT44" s="288"/>
      <c r="AU44" s="288"/>
      <c r="AV44" s="288"/>
      <c r="AW44" s="288"/>
      <c r="AX44" s="287"/>
    </row>
    <row r="45" spans="1:50" s="264" customFormat="1" ht="14.25" customHeight="1" x14ac:dyDescent="0.3">
      <c r="A45" s="347"/>
      <c r="B45" s="350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82" t="s">
        <v>279</v>
      </c>
      <c r="AF45" s="291">
        <f>'Unit Fungsi'!V45</f>
        <v>1.9306503372293343E-8</v>
      </c>
      <c r="AG45" s="279" t="s">
        <v>202</v>
      </c>
      <c r="AH45" s="298">
        <v>6.9999999999999998E-9</v>
      </c>
      <c r="AI45" s="299">
        <f t="shared" si="15"/>
        <v>1.351455236060534E-16</v>
      </c>
      <c r="AJ45" s="269"/>
      <c r="AK45" s="269"/>
      <c r="AL45" s="269"/>
      <c r="AM45" s="269"/>
      <c r="AN45" s="269"/>
      <c r="AO45" s="269"/>
      <c r="AP45" s="269"/>
      <c r="AQ45" s="269"/>
      <c r="AR45" s="288"/>
      <c r="AS45" s="288"/>
      <c r="AT45" s="288"/>
      <c r="AU45" s="288"/>
      <c r="AV45" s="288"/>
      <c r="AW45" s="288"/>
      <c r="AX45" s="287"/>
    </row>
    <row r="46" spans="1:50" s="264" customFormat="1" ht="14.25" customHeight="1" x14ac:dyDescent="0.3">
      <c r="A46" s="347"/>
      <c r="B46" s="350"/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82" t="s">
        <v>280</v>
      </c>
      <c r="AF46" s="291">
        <f>'Unit Fungsi'!V46</f>
        <v>3.690214702332474E-6</v>
      </c>
      <c r="AG46" s="279" t="s">
        <v>202</v>
      </c>
      <c r="AH46" s="298">
        <v>3.9299999999999999E-7</v>
      </c>
      <c r="AI46" s="299">
        <f t="shared" si="15"/>
        <v>1.4502543780166622E-12</v>
      </c>
      <c r="AJ46" s="269"/>
      <c r="AK46" s="269"/>
      <c r="AL46" s="269"/>
      <c r="AM46" s="269"/>
      <c r="AN46" s="269"/>
      <c r="AO46" s="269"/>
      <c r="AP46" s="269"/>
      <c r="AQ46" s="269"/>
      <c r="AR46" s="288"/>
      <c r="AS46" s="288"/>
      <c r="AT46" s="288"/>
      <c r="AU46" s="288"/>
      <c r="AV46" s="288"/>
      <c r="AW46" s="288"/>
      <c r="AX46" s="287"/>
    </row>
    <row r="47" spans="1:50" s="264" customFormat="1" ht="14.25" customHeight="1" x14ac:dyDescent="0.3">
      <c r="A47" s="347"/>
      <c r="B47" s="350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82" t="s">
        <v>281</v>
      </c>
      <c r="AF47" s="291">
        <f>'Unit Fungsi'!V47</f>
        <v>3.1188732785514542E-7</v>
      </c>
      <c r="AG47" s="279" t="s">
        <v>202</v>
      </c>
      <c r="AH47" s="298">
        <v>6E-9</v>
      </c>
      <c r="AI47" s="299">
        <f t="shared" si="15"/>
        <v>1.8713239671308725E-15</v>
      </c>
      <c r="AJ47" s="269"/>
      <c r="AK47" s="269"/>
      <c r="AL47" s="269"/>
      <c r="AM47" s="269"/>
      <c r="AN47" s="269"/>
      <c r="AO47" s="269"/>
      <c r="AP47" s="269"/>
      <c r="AQ47" s="269"/>
      <c r="AR47" s="288"/>
      <c r="AS47" s="288"/>
      <c r="AT47" s="288"/>
      <c r="AU47" s="288"/>
      <c r="AV47" s="288"/>
      <c r="AW47" s="288"/>
      <c r="AX47" s="287"/>
    </row>
    <row r="48" spans="1:50" s="264" customFormat="1" ht="14.25" customHeight="1" x14ac:dyDescent="0.3">
      <c r="A48" s="347"/>
      <c r="B48" s="350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82" t="s">
        <v>282</v>
      </c>
      <c r="AF48" s="291">
        <f>'Unit Fungsi'!V48</f>
        <v>9.2318406988326563E-9</v>
      </c>
      <c r="AG48" s="279" t="s">
        <v>202</v>
      </c>
      <c r="AH48" s="298">
        <v>3E-9</v>
      </c>
      <c r="AI48" s="299">
        <f t="shared" si="15"/>
        <v>2.7695522096497968E-17</v>
      </c>
      <c r="AJ48" s="269"/>
      <c r="AK48" s="269"/>
      <c r="AL48" s="269"/>
      <c r="AM48" s="269"/>
      <c r="AN48" s="269"/>
      <c r="AO48" s="269"/>
      <c r="AP48" s="269"/>
      <c r="AQ48" s="269"/>
      <c r="AR48" s="288"/>
      <c r="AS48" s="288"/>
      <c r="AT48" s="288"/>
      <c r="AU48" s="288"/>
      <c r="AV48" s="288"/>
      <c r="AW48" s="288"/>
      <c r="AX48" s="287"/>
    </row>
    <row r="49" spans="1:50" s="264" customFormat="1" ht="14.25" customHeight="1" x14ac:dyDescent="0.3">
      <c r="A49" s="348"/>
      <c r="B49" s="351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88"/>
      <c r="AS49" s="288"/>
      <c r="AT49" s="288"/>
      <c r="AU49" s="288"/>
      <c r="AV49" s="288"/>
      <c r="AW49" s="288"/>
      <c r="AX49" s="287"/>
    </row>
    <row r="50" spans="1:50" ht="14.25" customHeight="1" x14ac:dyDescent="0.3"/>
    <row r="51" spans="1:50" ht="14.25" customHeight="1" x14ac:dyDescent="0.35">
      <c r="B51" s="62" t="s">
        <v>94</v>
      </c>
      <c r="D51" s="63" t="s">
        <v>87</v>
      </c>
      <c r="E51" s="64">
        <f>SUM(H4,M4,AA4:AA6)</f>
        <v>3.7351710690850868E-8</v>
      </c>
      <c r="G51" s="381" t="s">
        <v>210</v>
      </c>
      <c r="H51" s="381"/>
      <c r="I51" s="381"/>
      <c r="J51" s="33"/>
    </row>
    <row r="52" spans="1:50" ht="14.25" customHeight="1" x14ac:dyDescent="0.35">
      <c r="B52" s="65">
        <f>SUM(H4,H8,H12,H18,H22,H26,H30,H39,M39,M40,AA39,AA40,AI40,AI41,AI42,AI43,AI44,AI45,AI46,AI47,AI48,AN39,M4,M8,M12,M18,M22,M26,M30,R12:R16,AA4:AA6,AA8:AA10,AA12:AA14,AA18:AA20,AA22:AA24,AA26:AA28,AA30:AA32)</f>
        <v>9.1205811129395481E-6</v>
      </c>
      <c r="D52" s="63" t="s">
        <v>88</v>
      </c>
      <c r="E52" s="64">
        <f>SUM(H8,M8,AA8:AA10)</f>
        <v>2.668387503132692E-7</v>
      </c>
      <c r="G52" s="195" t="s">
        <v>86</v>
      </c>
      <c r="H52" s="195" t="s">
        <v>211</v>
      </c>
      <c r="I52" s="195" t="s">
        <v>212</v>
      </c>
      <c r="J52" s="33"/>
    </row>
    <row r="53" spans="1:50" ht="14.25" customHeight="1" x14ac:dyDescent="0.35">
      <c r="B53" s="62" t="s">
        <v>95</v>
      </c>
      <c r="D53" s="63" t="s">
        <v>89</v>
      </c>
      <c r="E53" s="64">
        <f>SUM(H12,M12,R12:R16,AA12:AA14)</f>
        <v>6.4351832724315746E-8</v>
      </c>
      <c r="G53" s="198">
        <f>H4</f>
        <v>8.165650682395914E-13</v>
      </c>
      <c r="H53" s="203">
        <f>(G53/$G$90)*100%</f>
        <v>1.0174679419462376E-7</v>
      </c>
      <c r="I53" s="199"/>
      <c r="J53" s="33"/>
    </row>
    <row r="54" spans="1:50" ht="14.25" customHeight="1" x14ac:dyDescent="0.35">
      <c r="D54" s="63" t="s">
        <v>90</v>
      </c>
      <c r="E54" s="64">
        <f>SUM(H18,M18,AA18:AA20)</f>
        <v>6.6029326670675008E-6</v>
      </c>
      <c r="G54" s="198">
        <f>H8</f>
        <v>2.3850731484266368E-9</v>
      </c>
      <c r="H54" s="203">
        <f t="shared" ref="H54:H89" si="16">(G54/$G$90)*100%</f>
        <v>2.9718825383415079E-4</v>
      </c>
      <c r="I54" s="199"/>
    </row>
    <row r="55" spans="1:50" ht="14.25" customHeight="1" x14ac:dyDescent="0.35">
      <c r="D55" s="63" t="s">
        <v>52</v>
      </c>
      <c r="E55" s="64">
        <f>SUM(H22,M22,AA22:AA24)</f>
        <v>1.1146550870382666E-7</v>
      </c>
      <c r="G55" s="199">
        <f>H12</f>
        <v>0</v>
      </c>
      <c r="H55" s="203">
        <f t="shared" si="16"/>
        <v>0</v>
      </c>
      <c r="I55" s="199"/>
    </row>
    <row r="56" spans="1:50" ht="14.25" customHeight="1" x14ac:dyDescent="0.35">
      <c r="D56" s="63" t="s">
        <v>56</v>
      </c>
      <c r="E56" s="64">
        <f>SUM(H26,M26,AA26:AA28)</f>
        <v>2.6294524985725301E-7</v>
      </c>
      <c r="G56" s="199">
        <f>H18</f>
        <v>0</v>
      </c>
      <c r="H56" s="203">
        <f t="shared" si="16"/>
        <v>0</v>
      </c>
      <c r="I56" s="199"/>
    </row>
    <row r="57" spans="1:50" ht="14.25" customHeight="1" x14ac:dyDescent="0.35">
      <c r="D57" s="63" t="s">
        <v>91</v>
      </c>
      <c r="E57" s="64">
        <f>SUM(H30,M30,AA30:AA32)</f>
        <v>6.7962915224012558E-7</v>
      </c>
      <c r="G57" s="198">
        <f>M4</f>
        <v>3.3559096093724064E-8</v>
      </c>
      <c r="H57" s="203">
        <f t="shared" si="16"/>
        <v>4.181577900420147E-3</v>
      </c>
      <c r="I57" s="199"/>
    </row>
    <row r="58" spans="1:50" ht="14.25" customHeight="1" x14ac:dyDescent="0.35">
      <c r="D58" s="74" t="s">
        <v>272</v>
      </c>
      <c r="E58" s="303">
        <f>SUM(H39,M39,M40,AA39,AA40,AI40,AI41,AI42,AI43,AI44,AI45,AI46,AI47,AI48,AN39)</f>
        <v>1.095066241342406E-6</v>
      </c>
      <c r="G58" s="198">
        <f>M8</f>
        <v>2.3760679823157177E-7</v>
      </c>
      <c r="H58" s="203">
        <f t="shared" si="16"/>
        <v>2.9606617940479588E-2</v>
      </c>
      <c r="I58" s="199"/>
    </row>
    <row r="59" spans="1:50" ht="14.25" customHeight="1" x14ac:dyDescent="0.3">
      <c r="D59" s="302"/>
      <c r="E59" s="303">
        <f>SUM(E51:E58)</f>
        <v>9.1205811129395481E-6</v>
      </c>
      <c r="G59" s="198">
        <f>M12</f>
        <v>5.7818946205944897E-8</v>
      </c>
      <c r="H59" s="203">
        <f t="shared" si="16"/>
        <v>7.2044380160041039E-3</v>
      </c>
      <c r="I59" s="199"/>
    </row>
    <row r="60" spans="1:50" ht="14.25" customHeight="1" x14ac:dyDescent="0.35">
      <c r="G60" s="205">
        <f>M18</f>
        <v>5.9326143874437957E-6</v>
      </c>
      <c r="H60" s="206">
        <f t="shared" si="16"/>
        <v>0.73922399891124912</v>
      </c>
      <c r="I60" s="207" t="s">
        <v>246</v>
      </c>
      <c r="W60" s="66"/>
      <c r="X60" s="67"/>
      <c r="Y60" s="68"/>
      <c r="Z60" s="68"/>
      <c r="AA60" s="68"/>
      <c r="AB60" s="380"/>
      <c r="AC60" s="367"/>
      <c r="AD60" s="367"/>
    </row>
    <row r="61" spans="1:50" ht="14.25" customHeight="1" x14ac:dyDescent="0.3">
      <c r="G61" s="198">
        <f>M22</f>
        <v>1.0013400003091752E-7</v>
      </c>
      <c r="H61" s="203">
        <f t="shared" si="16"/>
        <v>1.2477038131198655E-2</v>
      </c>
      <c r="I61" s="199"/>
    </row>
    <row r="62" spans="1:50" ht="14.25" customHeight="1" x14ac:dyDescent="0.3">
      <c r="G62" s="198">
        <f>M26</f>
        <v>2.3623578041938811E-7</v>
      </c>
      <c r="H62" s="203">
        <f t="shared" si="16"/>
        <v>2.9435784442208408E-2</v>
      </c>
      <c r="I62" s="199"/>
    </row>
    <row r="63" spans="1:50" ht="14.25" customHeight="1" x14ac:dyDescent="0.3">
      <c r="G63" s="198">
        <f>M30</f>
        <v>6.1061865526259529E-7</v>
      </c>
      <c r="H63" s="209">
        <f t="shared" si="16"/>
        <v>7.60851683042751E-2</v>
      </c>
      <c r="I63" s="199"/>
    </row>
    <row r="64" spans="1:50" ht="14.25" customHeight="1" x14ac:dyDescent="0.3">
      <c r="G64" s="199">
        <f>R12</f>
        <v>0</v>
      </c>
      <c r="H64" s="203">
        <f t="shared" si="16"/>
        <v>0</v>
      </c>
      <c r="I64" s="199"/>
    </row>
    <row r="65" spans="7:9" ht="14.25" customHeight="1" x14ac:dyDescent="0.3">
      <c r="G65" s="199">
        <f t="shared" ref="G65:G68" si="17">R13</f>
        <v>0</v>
      </c>
      <c r="H65" s="203">
        <f t="shared" si="16"/>
        <v>0</v>
      </c>
      <c r="I65" s="199"/>
    </row>
    <row r="66" spans="7:9" ht="14.25" customHeight="1" x14ac:dyDescent="0.3">
      <c r="G66" s="199">
        <f t="shared" si="17"/>
        <v>0</v>
      </c>
      <c r="H66" s="203">
        <f t="shared" si="16"/>
        <v>0</v>
      </c>
      <c r="I66" s="199"/>
    </row>
    <row r="67" spans="7:9" ht="14.25" customHeight="1" x14ac:dyDescent="0.3">
      <c r="G67" s="199">
        <f t="shared" si="17"/>
        <v>0</v>
      </c>
      <c r="H67" s="203">
        <f t="shared" si="16"/>
        <v>0</v>
      </c>
      <c r="I67" s="199"/>
    </row>
    <row r="68" spans="7:9" ht="14.25" customHeight="1" x14ac:dyDescent="0.3">
      <c r="G68" s="199">
        <f t="shared" si="17"/>
        <v>0</v>
      </c>
      <c r="H68" s="203">
        <f t="shared" si="16"/>
        <v>0</v>
      </c>
      <c r="I68" s="199"/>
    </row>
    <row r="69" spans="7:9" ht="14.25" customHeight="1" x14ac:dyDescent="0.3">
      <c r="G69" s="198">
        <f>AA4</f>
        <v>4.1133802683910464E-12</v>
      </c>
      <c r="H69" s="203">
        <f t="shared" si="16"/>
        <v>5.1254121917619131E-7</v>
      </c>
      <c r="I69" s="199"/>
    </row>
    <row r="70" spans="7:9" ht="14.25" customHeight="1" x14ac:dyDescent="0.3">
      <c r="G70" s="198">
        <f t="shared" ref="G70:G71" si="18">AA5</f>
        <v>2.0742574483221905E-10</v>
      </c>
      <c r="H70" s="203">
        <f t="shared" si="16"/>
        <v>2.5845955688025913E-5</v>
      </c>
      <c r="I70" s="199"/>
    </row>
    <row r="71" spans="7:9" ht="14.25" customHeight="1" x14ac:dyDescent="0.3">
      <c r="G71" s="198">
        <f t="shared" si="18"/>
        <v>3.5802589069579557E-9</v>
      </c>
      <c r="H71" s="203">
        <f t="shared" si="16"/>
        <v>4.4611247815812152E-4</v>
      </c>
      <c r="I71" s="199"/>
    </row>
    <row r="72" spans="7:9" ht="14.25" customHeight="1" x14ac:dyDescent="0.3">
      <c r="G72" s="198">
        <f>AA8</f>
        <v>2.9123761639816603E-11</v>
      </c>
      <c r="H72" s="203">
        <f t="shared" si="16"/>
        <v>3.6289200909954182E-6</v>
      </c>
      <c r="I72" s="199"/>
    </row>
    <row r="73" spans="7:9" ht="14.25" customHeight="1" x14ac:dyDescent="0.3">
      <c r="G73" s="198">
        <f>AA9</f>
        <v>1.4686261800001095E-9</v>
      </c>
      <c r="H73" s="203">
        <f t="shared" si="16"/>
        <v>1.8299583400922971E-4</v>
      </c>
      <c r="I73" s="199"/>
    </row>
    <row r="74" spans="7:9" ht="14.25" customHeight="1" x14ac:dyDescent="0.3">
      <c r="G74" s="198">
        <f>AA10</f>
        <v>2.534912899163086E-8</v>
      </c>
      <c r="H74" s="203">
        <f t="shared" si="16"/>
        <v>3.1585879813409616E-3</v>
      </c>
      <c r="I74" s="199"/>
    </row>
    <row r="75" spans="7:9" ht="14.25" customHeight="1" x14ac:dyDescent="0.3">
      <c r="G75" s="198">
        <f>AA12</f>
        <v>7.0869403573469401E-12</v>
      </c>
      <c r="H75" s="203">
        <f t="shared" si="16"/>
        <v>8.830569541299306E-7</v>
      </c>
      <c r="I75" s="199"/>
    </row>
    <row r="76" spans="7:9" ht="14.25" customHeight="1" x14ac:dyDescent="0.3">
      <c r="G76" s="198">
        <f>AA13</f>
        <v>3.5737368934752032E-10</v>
      </c>
      <c r="H76" s="203">
        <f t="shared" si="16"/>
        <v>4.4529981302049229E-5</v>
      </c>
      <c r="I76" s="199"/>
    </row>
    <row r="77" spans="7:9" ht="14.25" customHeight="1" x14ac:dyDescent="0.3">
      <c r="G77" s="198">
        <f>AA14</f>
        <v>6.1684258886659873E-9</v>
      </c>
      <c r="H77" s="203">
        <f t="shared" si="16"/>
        <v>7.68606916717549E-4</v>
      </c>
      <c r="I77" s="199"/>
    </row>
    <row r="78" spans="7:9" ht="14.25" customHeight="1" x14ac:dyDescent="0.3">
      <c r="G78" s="198">
        <f>AA18</f>
        <v>7.2716794555881399E-10</v>
      </c>
      <c r="H78" s="203">
        <f t="shared" si="16"/>
        <v>9.0607607622998664E-5</v>
      </c>
      <c r="I78" s="199"/>
    </row>
    <row r="79" spans="7:9" ht="14.25" customHeight="1" x14ac:dyDescent="0.3">
      <c r="G79" s="198">
        <f>AA19</f>
        <v>3.6668954213817467E-8</v>
      </c>
      <c r="H79" s="203">
        <f t="shared" si="16"/>
        <v>4.5690768351979707E-3</v>
      </c>
      <c r="I79" s="199"/>
    </row>
    <row r="80" spans="7:9" ht="14.25" customHeight="1" x14ac:dyDescent="0.3">
      <c r="G80" s="205">
        <f>AA20</f>
        <v>6.3292215746432887E-7</v>
      </c>
      <c r="H80" s="210">
        <f t="shared" si="16"/>
        <v>7.8864260793782962E-2</v>
      </c>
      <c r="I80" s="207" t="s">
        <v>245</v>
      </c>
    </row>
    <row r="81" spans="7:9" ht="14.25" customHeight="1" x14ac:dyDescent="0.3">
      <c r="G81" s="198">
        <f>AA22</f>
        <v>1.2273549286664863E-11</v>
      </c>
      <c r="H81" s="203">
        <f t="shared" si="16"/>
        <v>1.529326127065538E-6</v>
      </c>
      <c r="I81" s="199"/>
    </row>
    <row r="82" spans="7:9" ht="14.25" customHeight="1" x14ac:dyDescent="0.3">
      <c r="G82" s="198">
        <f>AA23</f>
        <v>6.189192188441216E-10</v>
      </c>
      <c r="H82" s="203">
        <f t="shared" si="16"/>
        <v>7.7119446853870304E-5</v>
      </c>
      <c r="I82" s="199"/>
    </row>
    <row r="83" spans="7:9" ht="14.25" customHeight="1" x14ac:dyDescent="0.3">
      <c r="G83" s="198">
        <f>AA24</f>
        <v>1.0682815904778357E-8</v>
      </c>
      <c r="H83" s="203">
        <f t="shared" si="16"/>
        <v>1.3311153189859612E-3</v>
      </c>
      <c r="I83" s="199"/>
    </row>
    <row r="84" spans="7:9" ht="14.25" customHeight="1" x14ac:dyDescent="0.3">
      <c r="G84" s="198">
        <f>AA26</f>
        <v>2.895571427642818E-11</v>
      </c>
      <c r="H84" s="203">
        <f t="shared" si="16"/>
        <v>3.6079808160219092E-6</v>
      </c>
      <c r="I84" s="199"/>
    </row>
    <row r="85" spans="7:9" ht="14.25" customHeight="1" x14ac:dyDescent="0.3">
      <c r="G85" s="198">
        <f>AA27</f>
        <v>1.4601520426134465E-9</v>
      </c>
      <c r="H85" s="203">
        <f t="shared" si="16"/>
        <v>1.8193992757115909E-4</v>
      </c>
      <c r="I85" s="199"/>
    </row>
    <row r="86" spans="7:9" ht="14.25" customHeight="1" x14ac:dyDescent="0.3">
      <c r="G86" s="198">
        <f>AA28</f>
        <v>2.5202861680975062E-8</v>
      </c>
      <c r="H86" s="203">
        <f t="shared" si="16"/>
        <v>3.1403625752667334E-3</v>
      </c>
      <c r="I86" s="199"/>
    </row>
    <row r="87" spans="7:9" ht="14.25" customHeight="1" x14ac:dyDescent="0.3">
      <c r="G87" s="198">
        <f>AA30</f>
        <v>7.4844290235169741E-11</v>
      </c>
      <c r="H87" s="203">
        <f t="shared" si="16"/>
        <v>9.3258539844446422E-6</v>
      </c>
      <c r="I87" s="199"/>
    </row>
    <row r="88" spans="7:9" ht="14.25" customHeight="1" x14ac:dyDescent="0.3">
      <c r="G88" s="198">
        <f>AA31</f>
        <v>3.774178810494789E-9</v>
      </c>
      <c r="H88" s="203">
        <f t="shared" si="16"/>
        <v>4.7027555992935178E-4</v>
      </c>
      <c r="I88" s="199"/>
    </row>
    <row r="89" spans="7:9" ht="14.25" customHeight="1" x14ac:dyDescent="0.3">
      <c r="G89" s="198">
        <f>AA32</f>
        <v>6.514397387680045E-8</v>
      </c>
      <c r="H89" s="203">
        <f t="shared" si="16"/>
        <v>8.1171614619178888E-3</v>
      </c>
      <c r="I89" s="199"/>
    </row>
    <row r="90" spans="7:9" ht="14.25" customHeight="1" x14ac:dyDescent="0.3">
      <c r="G90" s="208">
        <f>SUM(G53:G89)</f>
        <v>8.0254623715971409E-6</v>
      </c>
      <c r="H90" s="204">
        <f>SUM(H53:H89)</f>
        <v>1</v>
      </c>
      <c r="I90" s="186"/>
    </row>
    <row r="91" spans="7:9" ht="14.25" customHeight="1" x14ac:dyDescent="0.3"/>
    <row r="92" spans="7:9" ht="14.25" customHeight="1" x14ac:dyDescent="0.3"/>
    <row r="93" spans="7:9" ht="14.25" customHeight="1" x14ac:dyDescent="0.3"/>
    <row r="94" spans="7:9" ht="14.25" customHeight="1" x14ac:dyDescent="0.3"/>
    <row r="95" spans="7:9" ht="14.25" customHeight="1" x14ac:dyDescent="0.3"/>
    <row r="96" spans="7:9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63">
    <mergeCell ref="C1:C3"/>
    <mergeCell ref="F2:F3"/>
    <mergeCell ref="A4:A7"/>
    <mergeCell ref="B4:B7"/>
    <mergeCell ref="AP2:AP3"/>
    <mergeCell ref="E2:E3"/>
    <mergeCell ref="B1:B3"/>
    <mergeCell ref="AQ2:AQ3"/>
    <mergeCell ref="W1:AQ1"/>
    <mergeCell ref="K2:K3"/>
    <mergeCell ref="L2:L3"/>
    <mergeCell ref="M2:M3"/>
    <mergeCell ref="N2:N3"/>
    <mergeCell ref="O2:O3"/>
    <mergeCell ref="P2:P3"/>
    <mergeCell ref="Q2:Q3"/>
    <mergeCell ref="AF2:AF3"/>
    <mergeCell ref="AG2:AG3"/>
    <mergeCell ref="AH2:AH3"/>
    <mergeCell ref="AI2:AI3"/>
    <mergeCell ref="AM2:AM3"/>
    <mergeCell ref="AN2:AN3"/>
    <mergeCell ref="AR1:AR3"/>
    <mergeCell ref="D2:D3"/>
    <mergeCell ref="X2:X3"/>
    <mergeCell ref="Y2:Y3"/>
    <mergeCell ref="Z2:Z3"/>
    <mergeCell ref="AA2:AA3"/>
    <mergeCell ref="AB2:AB3"/>
    <mergeCell ref="AC2:AC3"/>
    <mergeCell ref="AJ2:AJ3"/>
    <mergeCell ref="AK2:AK3"/>
    <mergeCell ref="AL2:AL3"/>
    <mergeCell ref="AO2:AO3"/>
    <mergeCell ref="G2:G3"/>
    <mergeCell ref="H2:H3"/>
    <mergeCell ref="D1:V1"/>
    <mergeCell ref="U2:U3"/>
    <mergeCell ref="AB60:AD60"/>
    <mergeCell ref="AD2:AD3"/>
    <mergeCell ref="AE2:AE3"/>
    <mergeCell ref="I2:I3"/>
    <mergeCell ref="J2:J3"/>
    <mergeCell ref="S2:T2"/>
    <mergeCell ref="W2:W3"/>
    <mergeCell ref="G51:I51"/>
    <mergeCell ref="R2:R3"/>
    <mergeCell ref="V2:V3"/>
    <mergeCell ref="A39:A49"/>
    <mergeCell ref="B39:B49"/>
    <mergeCell ref="A1:A3"/>
    <mergeCell ref="A8:A11"/>
    <mergeCell ref="B8:B11"/>
    <mergeCell ref="B12:B17"/>
    <mergeCell ref="B18:B21"/>
    <mergeCell ref="A22:A25"/>
    <mergeCell ref="B22:B25"/>
    <mergeCell ref="A30:A38"/>
    <mergeCell ref="B30:B38"/>
    <mergeCell ref="A12:A17"/>
    <mergeCell ref="A18:A21"/>
    <mergeCell ref="A26:A29"/>
    <mergeCell ref="B26:B29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AX1015"/>
  <sheetViews>
    <sheetView topLeftCell="A34" zoomScale="85" zoomScaleNormal="85" workbookViewId="0">
      <selection activeCell="E52" sqref="E52"/>
    </sheetView>
  </sheetViews>
  <sheetFormatPr defaultColWidth="12.58203125" defaultRowHeight="15" customHeight="1" x14ac:dyDescent="0.3"/>
  <cols>
    <col min="1" max="1" width="4.5" customWidth="1"/>
    <col min="2" max="2" width="25.25" customWidth="1"/>
    <col min="3" max="3" width="20.83203125" hidden="1" customWidth="1"/>
    <col min="4" max="4" width="23.25" customWidth="1"/>
    <col min="5" max="5" width="12.08203125" customWidth="1"/>
    <col min="6" max="6" width="9.83203125" customWidth="1"/>
    <col min="7" max="7" width="9.75" customWidth="1"/>
    <col min="8" max="8" width="13.33203125" customWidth="1"/>
    <col min="9" max="9" width="13.25" customWidth="1"/>
    <col min="10" max="10" width="12.08203125" customWidth="1"/>
    <col min="11" max="11" width="7.58203125" customWidth="1"/>
    <col min="12" max="12" width="11" customWidth="1"/>
    <col min="13" max="13" width="14.58203125" customWidth="1"/>
    <col min="14" max="14" width="16.83203125" customWidth="1"/>
    <col min="15" max="15" width="11.58203125" customWidth="1"/>
    <col min="16" max="16" width="9.08203125" customWidth="1"/>
    <col min="17" max="17" width="9.25" customWidth="1"/>
    <col min="18" max="18" width="14.25" customWidth="1"/>
    <col min="19" max="19" width="9.08203125" bestFit="1" customWidth="1"/>
    <col min="20" max="20" width="7.58203125" customWidth="1"/>
    <col min="21" max="21" width="7.58203125" style="264" customWidth="1"/>
    <col min="22" max="22" width="14.83203125" style="264" customWidth="1"/>
    <col min="23" max="23" width="11.58203125" customWidth="1"/>
    <col min="24" max="24" width="13.58203125" customWidth="1"/>
    <col min="25" max="25" width="10.83203125" customWidth="1"/>
    <col min="26" max="26" width="11.58203125" customWidth="1"/>
    <col min="27" max="27" width="13.83203125" customWidth="1"/>
    <col min="28" max="28" width="22.58203125" customWidth="1"/>
    <col min="29" max="29" width="14.08203125" customWidth="1"/>
    <col min="30" max="30" width="7.58203125" customWidth="1"/>
    <col min="31" max="31" width="10" customWidth="1"/>
    <col min="32" max="32" width="8.58203125" bestFit="1" customWidth="1"/>
    <col min="33" max="33" width="7.58203125" customWidth="1"/>
    <col min="34" max="34" width="9.08203125" style="264" bestFit="1" customWidth="1"/>
    <col min="35" max="35" width="13.33203125" style="264" customWidth="1"/>
    <col min="36" max="36" width="10.83203125" customWidth="1"/>
    <col min="37" max="37" width="9.08203125" bestFit="1" customWidth="1"/>
    <col min="38" max="38" width="7.58203125" customWidth="1"/>
    <col min="39" max="39" width="8.58203125" style="264" bestFit="1" customWidth="1"/>
    <col min="40" max="40" width="15.25" style="264" customWidth="1"/>
    <col min="41" max="41" width="14.33203125" customWidth="1"/>
    <col min="42" max="43" width="7.58203125" customWidth="1"/>
    <col min="44" max="44" width="22" customWidth="1"/>
  </cols>
  <sheetData>
    <row r="1" spans="1:44" ht="14.25" customHeight="1" x14ac:dyDescent="0.3">
      <c r="A1" s="352" t="s">
        <v>0</v>
      </c>
      <c r="B1" s="352" t="s">
        <v>1</v>
      </c>
      <c r="C1" s="355" t="s">
        <v>2</v>
      </c>
      <c r="D1" s="382" t="s">
        <v>3</v>
      </c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4"/>
      <c r="W1" s="377" t="s">
        <v>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4" t="s">
        <v>5</v>
      </c>
    </row>
    <row r="2" spans="1:44" ht="40.5" customHeight="1" x14ac:dyDescent="0.3">
      <c r="A2" s="353"/>
      <c r="B2" s="353"/>
      <c r="C2" s="353"/>
      <c r="D2" s="375" t="s">
        <v>6</v>
      </c>
      <c r="E2" s="375" t="s">
        <v>7</v>
      </c>
      <c r="F2" s="375" t="s">
        <v>8</v>
      </c>
      <c r="G2" s="375" t="s">
        <v>85</v>
      </c>
      <c r="H2" s="375" t="s">
        <v>86</v>
      </c>
      <c r="I2" s="375" t="s">
        <v>9</v>
      </c>
      <c r="J2" s="375" t="s">
        <v>7</v>
      </c>
      <c r="K2" s="375" t="s">
        <v>8</v>
      </c>
      <c r="L2" s="375" t="s">
        <v>85</v>
      </c>
      <c r="M2" s="375" t="s">
        <v>86</v>
      </c>
      <c r="N2" s="375" t="s">
        <v>10</v>
      </c>
      <c r="O2" s="375" t="s">
        <v>7</v>
      </c>
      <c r="P2" s="375" t="s">
        <v>8</v>
      </c>
      <c r="Q2" s="375" t="s">
        <v>85</v>
      </c>
      <c r="R2" s="375" t="s">
        <v>86</v>
      </c>
      <c r="S2" s="373" t="s">
        <v>11</v>
      </c>
      <c r="T2" s="372"/>
      <c r="U2" s="375" t="s">
        <v>85</v>
      </c>
      <c r="V2" s="375" t="s">
        <v>86</v>
      </c>
      <c r="W2" s="362" t="s">
        <v>12</v>
      </c>
      <c r="X2" s="362" t="s">
        <v>7</v>
      </c>
      <c r="Y2" s="362" t="s">
        <v>8</v>
      </c>
      <c r="Z2" s="362" t="s">
        <v>85</v>
      </c>
      <c r="AA2" s="362" t="s">
        <v>86</v>
      </c>
      <c r="AB2" s="362" t="s">
        <v>13</v>
      </c>
      <c r="AC2" s="362" t="s">
        <v>7</v>
      </c>
      <c r="AD2" s="362" t="s">
        <v>8</v>
      </c>
      <c r="AE2" s="362" t="s">
        <v>14</v>
      </c>
      <c r="AF2" s="362" t="s">
        <v>7</v>
      </c>
      <c r="AG2" s="362" t="s">
        <v>8</v>
      </c>
      <c r="AH2" s="362" t="s">
        <v>85</v>
      </c>
      <c r="AI2" s="362" t="s">
        <v>86</v>
      </c>
      <c r="AJ2" s="362" t="s">
        <v>15</v>
      </c>
      <c r="AK2" s="362" t="s">
        <v>7</v>
      </c>
      <c r="AL2" s="362" t="s">
        <v>8</v>
      </c>
      <c r="AM2" s="362" t="s">
        <v>85</v>
      </c>
      <c r="AN2" s="362" t="s">
        <v>86</v>
      </c>
      <c r="AO2" s="362" t="s">
        <v>16</v>
      </c>
      <c r="AP2" s="362" t="s">
        <v>7</v>
      </c>
      <c r="AQ2" s="362" t="s">
        <v>8</v>
      </c>
      <c r="AR2" s="353"/>
    </row>
    <row r="3" spans="1:44" ht="14.2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1" t="s">
        <v>17</v>
      </c>
      <c r="T3" s="1" t="s">
        <v>8</v>
      </c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</row>
    <row r="4" spans="1:44" ht="14.25" customHeight="1" x14ac:dyDescent="0.3">
      <c r="A4" s="378">
        <v>1</v>
      </c>
      <c r="B4" s="358" t="s">
        <v>18</v>
      </c>
      <c r="C4" s="2" t="s">
        <v>19</v>
      </c>
      <c r="D4" s="3" t="s">
        <v>20</v>
      </c>
      <c r="E4" s="42">
        <f>'Unit Fungsi'!E4</f>
        <v>9.0327994274291078E-5</v>
      </c>
      <c r="F4" s="61" t="s">
        <v>199</v>
      </c>
      <c r="G4" s="51">
        <f>CF!H3</f>
        <v>2.22E-4</v>
      </c>
      <c r="H4" s="70">
        <f>E4*G4</f>
        <v>2.0052814728892618E-8</v>
      </c>
      <c r="I4" s="5" t="s">
        <v>22</v>
      </c>
      <c r="J4" s="43">
        <f>'Unit Fungsi'!H4</f>
        <v>5.2029606346859013E-2</v>
      </c>
      <c r="K4" s="18" t="s">
        <v>203</v>
      </c>
      <c r="L4" s="44">
        <f>CF!H7</f>
        <v>5.1500000000000001E-3</v>
      </c>
      <c r="M4" s="52">
        <f>J4*L4</f>
        <v>2.6795247268632391E-4</v>
      </c>
      <c r="N4" s="7"/>
      <c r="O4" s="7"/>
      <c r="P4" s="7"/>
      <c r="Q4" s="7"/>
      <c r="R4" s="7"/>
      <c r="S4" s="7"/>
      <c r="T4" s="7"/>
      <c r="U4" s="24"/>
      <c r="V4" s="24"/>
      <c r="W4" s="8" t="s">
        <v>24</v>
      </c>
      <c r="X4" s="44">
        <f>'Unit Fungsi'!P4</f>
        <v>2.6537937215426107E-4</v>
      </c>
      <c r="Y4" s="20" t="s">
        <v>205</v>
      </c>
      <c r="Z4" s="53">
        <f>CF!H21</f>
        <v>3.6900000000000002E-2</v>
      </c>
      <c r="AA4" s="54">
        <f t="shared" ref="AA4:AA6" si="0">X4*Z4</f>
        <v>9.7924988324922336E-6</v>
      </c>
      <c r="AB4" s="10" t="s">
        <v>26</v>
      </c>
      <c r="AC4" s="42">
        <f>'Unit Fungsi'!S4</f>
        <v>6.4818322919460664E-5</v>
      </c>
      <c r="AD4" s="11" t="s">
        <v>27</v>
      </c>
      <c r="AE4" s="12"/>
      <c r="AF4" s="12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4"/>
    </row>
    <row r="5" spans="1:44" ht="14.25" customHeight="1" x14ac:dyDescent="0.3">
      <c r="A5" s="353"/>
      <c r="B5" s="353"/>
      <c r="C5" s="15" t="s">
        <v>28</v>
      </c>
      <c r="D5" s="7"/>
      <c r="E5" s="45"/>
      <c r="F5" s="25"/>
      <c r="G5" s="16"/>
      <c r="H5" s="16"/>
      <c r="I5" s="7"/>
      <c r="J5" s="45"/>
      <c r="K5" s="25"/>
      <c r="L5" s="16"/>
      <c r="M5" s="16"/>
      <c r="N5" s="7"/>
      <c r="O5" s="7"/>
      <c r="P5" s="7"/>
      <c r="Q5" s="7"/>
      <c r="R5" s="7"/>
      <c r="S5" s="7"/>
      <c r="T5" s="7"/>
      <c r="U5" s="24"/>
      <c r="V5" s="24"/>
      <c r="W5" s="17" t="s">
        <v>29</v>
      </c>
      <c r="X5" s="44">
        <f>'Unit Fungsi'!P5</f>
        <v>4.0355203274750791E-3</v>
      </c>
      <c r="Y5" s="18" t="s">
        <v>206</v>
      </c>
      <c r="Z5" s="55">
        <f>CF!H22</f>
        <v>8.77E-3</v>
      </c>
      <c r="AA5" s="56">
        <f t="shared" si="0"/>
        <v>3.5391513271956445E-5</v>
      </c>
      <c r="AB5" s="7"/>
      <c r="AC5" s="16"/>
      <c r="AD5" s="7"/>
      <c r="AE5" s="7"/>
      <c r="AF5" s="7"/>
      <c r="AG5" s="7"/>
      <c r="AH5" s="24"/>
      <c r="AI5" s="24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14.25" customHeight="1" x14ac:dyDescent="0.3">
      <c r="A6" s="353"/>
      <c r="B6" s="353"/>
      <c r="C6" s="15"/>
      <c r="D6" s="7"/>
      <c r="E6" s="45"/>
      <c r="F6" s="25"/>
      <c r="G6" s="16"/>
      <c r="H6" s="16"/>
      <c r="I6" s="7"/>
      <c r="J6" s="45"/>
      <c r="K6" s="25"/>
      <c r="L6" s="16"/>
      <c r="M6" s="16"/>
      <c r="N6" s="7"/>
      <c r="O6" s="7"/>
      <c r="P6" s="7"/>
      <c r="Q6" s="7"/>
      <c r="R6" s="7"/>
      <c r="S6" s="7"/>
      <c r="T6" s="7"/>
      <c r="U6" s="24"/>
      <c r="V6" s="24"/>
      <c r="W6" s="17" t="s">
        <v>31</v>
      </c>
      <c r="X6" s="44">
        <f>'Unit Fungsi'!P6</f>
        <v>0.15772065669418306</v>
      </c>
      <c r="Y6" s="18" t="s">
        <v>207</v>
      </c>
      <c r="Z6" s="55">
        <f>CF!H23</f>
        <v>2.2899999999999999E-3</v>
      </c>
      <c r="AA6" s="56">
        <f t="shared" si="0"/>
        <v>3.611803038296792E-4</v>
      </c>
      <c r="AB6" s="7"/>
      <c r="AC6" s="16"/>
      <c r="AD6" s="7"/>
      <c r="AE6" s="7"/>
      <c r="AF6" s="7"/>
      <c r="AG6" s="7"/>
      <c r="AH6" s="24"/>
      <c r="AI6" s="24"/>
      <c r="AJ6" s="13"/>
      <c r="AK6" s="13"/>
      <c r="AL6" s="13"/>
      <c r="AM6" s="13"/>
      <c r="AN6" s="13"/>
      <c r="AO6" s="13"/>
      <c r="AP6" s="13"/>
      <c r="AQ6" s="13"/>
      <c r="AR6" s="14"/>
    </row>
    <row r="7" spans="1:44" ht="14.25" customHeight="1" x14ac:dyDescent="0.3">
      <c r="A7" s="354"/>
      <c r="B7" s="354"/>
      <c r="C7" s="15"/>
      <c r="D7" s="7"/>
      <c r="E7" s="45"/>
      <c r="F7" s="25"/>
      <c r="G7" s="16"/>
      <c r="H7" s="16"/>
      <c r="I7" s="7"/>
      <c r="J7" s="45"/>
      <c r="K7" s="25"/>
      <c r="L7" s="16"/>
      <c r="M7" s="16"/>
      <c r="N7" s="7"/>
      <c r="O7" s="7"/>
      <c r="P7" s="7"/>
      <c r="Q7" s="7"/>
      <c r="R7" s="7"/>
      <c r="S7" s="7"/>
      <c r="T7" s="7"/>
      <c r="U7" s="24"/>
      <c r="V7" s="24"/>
      <c r="W7" s="7"/>
      <c r="X7" s="46"/>
      <c r="Y7" s="25"/>
      <c r="Z7" s="16"/>
      <c r="AA7" s="16"/>
      <c r="AB7" s="7"/>
      <c r="AC7" s="16"/>
      <c r="AD7" s="7"/>
      <c r="AE7" s="7"/>
      <c r="AF7" s="7"/>
      <c r="AG7" s="7"/>
      <c r="AH7" s="24"/>
      <c r="AI7" s="24"/>
      <c r="AJ7" s="13"/>
      <c r="AK7" s="13"/>
      <c r="AL7" s="13"/>
      <c r="AM7" s="13"/>
      <c r="AN7" s="13"/>
      <c r="AO7" s="13"/>
      <c r="AP7" s="13"/>
      <c r="AQ7" s="13"/>
      <c r="AR7" s="14"/>
    </row>
    <row r="8" spans="1:44" ht="14.25" customHeight="1" x14ac:dyDescent="0.3">
      <c r="A8" s="356">
        <v>2</v>
      </c>
      <c r="B8" s="379" t="s">
        <v>33</v>
      </c>
      <c r="C8" s="2" t="s">
        <v>19</v>
      </c>
      <c r="D8" s="5" t="s">
        <v>34</v>
      </c>
      <c r="E8" s="43">
        <f>'Unit Fungsi'!E8</f>
        <v>0.26383552526843329</v>
      </c>
      <c r="F8" s="18" t="s">
        <v>200</v>
      </c>
      <c r="G8" s="55">
        <f>CF!H4</f>
        <v>2.22E-4</v>
      </c>
      <c r="H8" s="73">
        <f>E8*G8</f>
        <v>5.8571486609592192E-5</v>
      </c>
      <c r="I8" s="5" t="s">
        <v>22</v>
      </c>
      <c r="J8" s="43">
        <f>'Unit Fungsi'!H8</f>
        <v>0.36838263291716555</v>
      </c>
      <c r="K8" s="18" t="s">
        <v>203</v>
      </c>
      <c r="L8" s="44">
        <f>L4</f>
        <v>5.1500000000000001E-3</v>
      </c>
      <c r="M8" s="52">
        <f>J8*L8</f>
        <v>1.8971705595234025E-3</v>
      </c>
      <c r="N8" s="7"/>
      <c r="O8" s="7"/>
      <c r="P8" s="7"/>
      <c r="Q8" s="7"/>
      <c r="R8" s="7"/>
      <c r="S8" s="7"/>
      <c r="T8" s="7"/>
      <c r="U8" s="24"/>
      <c r="V8" s="24"/>
      <c r="W8" s="8" t="s">
        <v>24</v>
      </c>
      <c r="X8" s="44">
        <f>'Unit Fungsi'!P8</f>
        <v>1.8789523638591357E-3</v>
      </c>
      <c r="Y8" s="20" t="s">
        <v>205</v>
      </c>
      <c r="Z8" s="53">
        <f t="shared" ref="Z8:Z10" si="1">Z4</f>
        <v>3.6900000000000002E-2</v>
      </c>
      <c r="AA8" s="54">
        <f t="shared" ref="AA8:AA10" si="2">X8*Z8</f>
        <v>6.9333342226402106E-5</v>
      </c>
      <c r="AB8" s="19" t="s">
        <v>34</v>
      </c>
      <c r="AC8" s="43">
        <f>'Unit Fungsi'!S8</f>
        <v>0.26383552526843329</v>
      </c>
      <c r="AD8" s="20" t="s">
        <v>35</v>
      </c>
      <c r="AE8" s="7"/>
      <c r="AF8" s="7"/>
      <c r="AG8" s="7"/>
      <c r="AH8" s="24"/>
      <c r="AI8" s="24"/>
      <c r="AJ8" s="13"/>
      <c r="AK8" s="13"/>
      <c r="AL8" s="13"/>
      <c r="AM8" s="13"/>
      <c r="AN8" s="13"/>
      <c r="AO8" s="13"/>
      <c r="AP8" s="13"/>
      <c r="AQ8" s="13"/>
      <c r="AR8" s="14"/>
    </row>
    <row r="9" spans="1:44" ht="14.25" customHeight="1" x14ac:dyDescent="0.3">
      <c r="A9" s="353"/>
      <c r="B9" s="353"/>
      <c r="C9" s="2" t="s">
        <v>36</v>
      </c>
      <c r="D9" s="7"/>
      <c r="E9" s="45"/>
      <c r="F9" s="25"/>
      <c r="G9" s="16"/>
      <c r="H9" s="16"/>
      <c r="I9" s="7"/>
      <c r="J9" s="45"/>
      <c r="K9" s="25"/>
      <c r="L9" s="16"/>
      <c r="M9" s="16"/>
      <c r="N9" s="7"/>
      <c r="O9" s="7"/>
      <c r="P9" s="7"/>
      <c r="Q9" s="7"/>
      <c r="R9" s="7"/>
      <c r="S9" s="7"/>
      <c r="T9" s="7"/>
      <c r="U9" s="24"/>
      <c r="V9" s="24"/>
      <c r="W9" s="17" t="s">
        <v>29</v>
      </c>
      <c r="X9" s="44">
        <f>'Unit Fungsi'!P9</f>
        <v>2.8572493774321198E-2</v>
      </c>
      <c r="Y9" s="18" t="s">
        <v>206</v>
      </c>
      <c r="Z9" s="55">
        <f t="shared" si="1"/>
        <v>8.77E-3</v>
      </c>
      <c r="AA9" s="56">
        <f t="shared" si="2"/>
        <v>2.505807704007969E-4</v>
      </c>
      <c r="AB9" s="21"/>
      <c r="AC9" s="16"/>
      <c r="AD9" s="21"/>
      <c r="AE9" s="7"/>
      <c r="AF9" s="7"/>
      <c r="AG9" s="7"/>
      <c r="AH9" s="24"/>
      <c r="AI9" s="24"/>
      <c r="AJ9" s="13"/>
      <c r="AK9" s="13"/>
      <c r="AL9" s="13"/>
      <c r="AM9" s="13"/>
      <c r="AN9" s="13"/>
      <c r="AO9" s="13"/>
      <c r="AP9" s="13"/>
      <c r="AQ9" s="13"/>
      <c r="AR9" s="14"/>
    </row>
    <row r="10" spans="1:44" ht="14.25" customHeight="1" x14ac:dyDescent="0.3">
      <c r="A10" s="353"/>
      <c r="B10" s="353"/>
      <c r="C10" s="2"/>
      <c r="D10" s="7"/>
      <c r="E10" s="45"/>
      <c r="F10" s="25"/>
      <c r="G10" s="16"/>
      <c r="H10" s="16"/>
      <c r="I10" s="7"/>
      <c r="J10" s="45"/>
      <c r="K10" s="25"/>
      <c r="L10" s="16"/>
      <c r="M10" s="16"/>
      <c r="N10" s="7"/>
      <c r="O10" s="7"/>
      <c r="P10" s="7"/>
      <c r="Q10" s="7"/>
      <c r="R10" s="7"/>
      <c r="S10" s="7"/>
      <c r="T10" s="7"/>
      <c r="U10" s="24"/>
      <c r="V10" s="24"/>
      <c r="W10" s="17" t="s">
        <v>31</v>
      </c>
      <c r="X10" s="44">
        <f>'Unit Fungsi'!P10</f>
        <v>1.1167017176929894</v>
      </c>
      <c r="Y10" s="18" t="s">
        <v>207</v>
      </c>
      <c r="Z10" s="55">
        <f t="shared" si="1"/>
        <v>2.2899999999999999E-3</v>
      </c>
      <c r="AA10" s="56">
        <f t="shared" si="2"/>
        <v>2.5572469335169456E-3</v>
      </c>
      <c r="AB10" s="21"/>
      <c r="AC10" s="16"/>
      <c r="AD10" s="21"/>
      <c r="AE10" s="7"/>
      <c r="AF10" s="7"/>
      <c r="AG10" s="7"/>
      <c r="AH10" s="24"/>
      <c r="AI10" s="24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4.25" customHeight="1" x14ac:dyDescent="0.3">
      <c r="A11" s="354"/>
      <c r="B11" s="354"/>
      <c r="C11" s="2"/>
      <c r="D11" s="7"/>
      <c r="E11" s="45"/>
      <c r="F11" s="25"/>
      <c r="G11" s="16"/>
      <c r="H11" s="16"/>
      <c r="I11" s="7"/>
      <c r="J11" s="45"/>
      <c r="K11" s="25"/>
      <c r="L11" s="16"/>
      <c r="M11" s="16"/>
      <c r="N11" s="7"/>
      <c r="O11" s="7"/>
      <c r="P11" s="7"/>
      <c r="Q11" s="7"/>
      <c r="R11" s="7"/>
      <c r="S11" s="7"/>
      <c r="T11" s="7"/>
      <c r="U11" s="24"/>
      <c r="V11" s="24"/>
      <c r="W11" s="21"/>
      <c r="X11" s="46"/>
      <c r="Y11" s="22"/>
      <c r="Z11" s="22"/>
      <c r="AA11" s="22"/>
      <c r="AB11" s="21"/>
      <c r="AC11" s="16"/>
      <c r="AD11" s="21"/>
      <c r="AE11" s="7"/>
      <c r="AF11" s="7"/>
      <c r="AG11" s="7"/>
      <c r="AH11" s="24"/>
      <c r="AI11" s="24"/>
      <c r="AJ11" s="13"/>
      <c r="AK11" s="13"/>
      <c r="AL11" s="13"/>
      <c r="AM11" s="13"/>
      <c r="AN11" s="13"/>
      <c r="AO11" s="13"/>
      <c r="AP11" s="13"/>
      <c r="AQ11" s="13"/>
      <c r="AR11" s="14"/>
    </row>
    <row r="12" spans="1:44" ht="14.25" customHeight="1" x14ac:dyDescent="0.3">
      <c r="A12" s="356">
        <v>3</v>
      </c>
      <c r="B12" s="379" t="s">
        <v>37</v>
      </c>
      <c r="C12" s="10" t="s">
        <v>38</v>
      </c>
      <c r="D12" s="5" t="s">
        <v>39</v>
      </c>
      <c r="E12" s="47">
        <f>'Unit Fungsi'!E12</f>
        <v>24.839966543981944</v>
      </c>
      <c r="F12" s="58" t="s">
        <v>201</v>
      </c>
      <c r="G12" s="58">
        <v>0</v>
      </c>
      <c r="H12" s="59">
        <f>E12*G12</f>
        <v>0</v>
      </c>
      <c r="I12" s="5" t="s">
        <v>22</v>
      </c>
      <c r="J12" s="43">
        <f>'Unit Fungsi'!H12</f>
        <v>8.9641777063480463E-2</v>
      </c>
      <c r="K12" s="18" t="s">
        <v>203</v>
      </c>
      <c r="L12" s="44">
        <f>L4</f>
        <v>5.1500000000000001E-3</v>
      </c>
      <c r="M12" s="52">
        <f>J12*L12</f>
        <v>4.6165515187692439E-4</v>
      </c>
      <c r="N12" s="10" t="s">
        <v>41</v>
      </c>
      <c r="O12" s="48">
        <f>'Unit Fungsi'!K12</f>
        <v>2.5838915890496632E-2</v>
      </c>
      <c r="P12" s="18" t="s">
        <v>203</v>
      </c>
      <c r="Q12" s="18">
        <v>0</v>
      </c>
      <c r="R12" s="60">
        <f t="shared" ref="R12:R16" si="3">O12*Q12</f>
        <v>0</v>
      </c>
      <c r="S12" s="7"/>
      <c r="T12" s="7"/>
      <c r="U12" s="24"/>
      <c r="V12" s="24"/>
      <c r="W12" s="8" t="s">
        <v>24</v>
      </c>
      <c r="X12" s="44">
        <f>'Unit Fungsi'!P12</f>
        <v>4.572219585385123E-4</v>
      </c>
      <c r="Y12" s="20" t="s">
        <v>205</v>
      </c>
      <c r="Z12" s="53">
        <f t="shared" ref="Z12:Z14" si="4">Z4</f>
        <v>3.6900000000000002E-2</v>
      </c>
      <c r="AA12" s="54">
        <f t="shared" ref="AA12:AA14" si="5">X12*Z12</f>
        <v>1.6871490270071104E-5</v>
      </c>
      <c r="AB12" s="19" t="s">
        <v>43</v>
      </c>
      <c r="AC12" s="49">
        <f>'Unit Fungsi'!S12</f>
        <v>22.057890291055969</v>
      </c>
      <c r="AD12" s="20" t="s">
        <v>40</v>
      </c>
      <c r="AE12" s="7"/>
      <c r="AF12" s="7"/>
      <c r="AG12" s="7"/>
      <c r="AH12" s="24"/>
      <c r="AI12" s="24"/>
      <c r="AJ12" s="13"/>
      <c r="AK12" s="13"/>
      <c r="AL12" s="13"/>
      <c r="AM12" s="13"/>
      <c r="AN12" s="13"/>
      <c r="AO12" s="13"/>
      <c r="AP12" s="13"/>
      <c r="AQ12" s="13"/>
      <c r="AR12" s="14"/>
    </row>
    <row r="13" spans="1:44" ht="14.25" customHeight="1" x14ac:dyDescent="0.3">
      <c r="A13" s="353"/>
      <c r="B13" s="353"/>
      <c r="C13" s="10"/>
      <c r="D13" s="7"/>
      <c r="E13" s="45"/>
      <c r="F13" s="25"/>
      <c r="G13" s="16"/>
      <c r="H13" s="16"/>
      <c r="I13" s="7"/>
      <c r="J13" s="45"/>
      <c r="K13" s="25"/>
      <c r="L13" s="16"/>
      <c r="M13" s="16"/>
      <c r="N13" s="10" t="s">
        <v>44</v>
      </c>
      <c r="O13" s="48">
        <f>'Unit Fungsi'!K13</f>
        <v>3.4478466078456207E-3</v>
      </c>
      <c r="P13" s="18" t="s">
        <v>203</v>
      </c>
      <c r="Q13" s="18">
        <v>0</v>
      </c>
      <c r="R13" s="60">
        <f t="shared" si="3"/>
        <v>0</v>
      </c>
      <c r="S13" s="7"/>
      <c r="T13" s="7"/>
      <c r="U13" s="24"/>
      <c r="V13" s="24"/>
      <c r="W13" s="17" t="s">
        <v>29</v>
      </c>
      <c r="X13" s="44">
        <f>'Unit Fungsi'!P13</f>
        <v>6.9527955125976721E-3</v>
      </c>
      <c r="Y13" s="18" t="s">
        <v>206</v>
      </c>
      <c r="Z13" s="55">
        <f t="shared" si="4"/>
        <v>8.77E-3</v>
      </c>
      <c r="AA13" s="56">
        <f t="shared" si="5"/>
        <v>6.0976016645481584E-5</v>
      </c>
      <c r="AB13" s="7"/>
      <c r="AC13" s="16"/>
      <c r="AD13" s="7"/>
      <c r="AE13" s="7"/>
      <c r="AF13" s="7"/>
      <c r="AG13" s="7"/>
      <c r="AH13" s="24"/>
      <c r="AI13" s="24"/>
      <c r="AJ13" s="13"/>
      <c r="AK13" s="13"/>
      <c r="AL13" s="13"/>
      <c r="AM13" s="13"/>
      <c r="AN13" s="13"/>
      <c r="AO13" s="13"/>
      <c r="AP13" s="13"/>
      <c r="AQ13" s="13"/>
      <c r="AR13" s="14"/>
    </row>
    <row r="14" spans="1:44" ht="14.25" customHeight="1" x14ac:dyDescent="0.3">
      <c r="A14" s="353"/>
      <c r="B14" s="353"/>
      <c r="C14" s="10"/>
      <c r="D14" s="7"/>
      <c r="E14" s="45"/>
      <c r="F14" s="25"/>
      <c r="G14" s="16"/>
      <c r="H14" s="16"/>
      <c r="I14" s="7"/>
      <c r="J14" s="45"/>
      <c r="K14" s="25"/>
      <c r="L14" s="16"/>
      <c r="M14" s="16"/>
      <c r="N14" s="10" t="s">
        <v>45</v>
      </c>
      <c r="O14" s="48">
        <f>'Unit Fungsi'!K14</f>
        <v>0.71937191858710159</v>
      </c>
      <c r="P14" s="61" t="s">
        <v>203</v>
      </c>
      <c r="Q14" s="61">
        <v>0</v>
      </c>
      <c r="R14" s="60">
        <f t="shared" si="3"/>
        <v>0</v>
      </c>
      <c r="S14" s="7"/>
      <c r="T14" s="7"/>
      <c r="U14" s="24"/>
      <c r="V14" s="24"/>
      <c r="W14" s="17" t="s">
        <v>31</v>
      </c>
      <c r="X14" s="44">
        <f>'Unit Fungsi'!P14</f>
        <v>0.27173682328925053</v>
      </c>
      <c r="Y14" s="18" t="s">
        <v>207</v>
      </c>
      <c r="Z14" s="55">
        <f t="shared" si="4"/>
        <v>2.2899999999999999E-3</v>
      </c>
      <c r="AA14" s="56">
        <f t="shared" si="5"/>
        <v>6.2227732533238372E-4</v>
      </c>
      <c r="AB14" s="7"/>
      <c r="AC14" s="16"/>
      <c r="AD14" s="7"/>
      <c r="AE14" s="7"/>
      <c r="AF14" s="7"/>
      <c r="AG14" s="7"/>
      <c r="AH14" s="24"/>
      <c r="AI14" s="24"/>
      <c r="AJ14" s="13"/>
      <c r="AK14" s="13"/>
      <c r="AL14" s="13"/>
      <c r="AM14" s="13"/>
      <c r="AN14" s="13"/>
      <c r="AO14" s="13"/>
      <c r="AP14" s="13"/>
      <c r="AQ14" s="13"/>
      <c r="AR14" s="14"/>
    </row>
    <row r="15" spans="1:44" ht="14.25" customHeight="1" x14ac:dyDescent="0.3">
      <c r="A15" s="353"/>
      <c r="B15" s="353"/>
      <c r="C15" s="10"/>
      <c r="D15" s="7"/>
      <c r="E15" s="45"/>
      <c r="F15" s="25"/>
      <c r="G15" s="16"/>
      <c r="H15" s="16"/>
      <c r="I15" s="7"/>
      <c r="J15" s="45"/>
      <c r="K15" s="25"/>
      <c r="L15" s="16"/>
      <c r="M15" s="16"/>
      <c r="N15" s="10" t="s">
        <v>46</v>
      </c>
      <c r="O15" s="48">
        <f>'Unit Fungsi'!K15</f>
        <v>1.0797875586246475</v>
      </c>
      <c r="P15" s="61" t="s">
        <v>203</v>
      </c>
      <c r="Q15" s="61">
        <v>0</v>
      </c>
      <c r="R15" s="60">
        <f t="shared" si="3"/>
        <v>0</v>
      </c>
      <c r="S15" s="7"/>
      <c r="T15" s="7"/>
      <c r="U15" s="24"/>
      <c r="V15" s="24"/>
      <c r="W15" s="24"/>
      <c r="X15" s="16"/>
      <c r="Y15" s="25"/>
      <c r="Z15" s="25"/>
      <c r="AA15" s="25"/>
      <c r="AB15" s="7"/>
      <c r="AC15" s="16"/>
      <c r="AD15" s="7"/>
      <c r="AE15" s="7"/>
      <c r="AF15" s="7"/>
      <c r="AG15" s="7"/>
      <c r="AH15" s="24"/>
      <c r="AI15" s="24"/>
      <c r="AJ15" s="13"/>
      <c r="AK15" s="13"/>
      <c r="AL15" s="13"/>
      <c r="AM15" s="13"/>
      <c r="AN15" s="13"/>
      <c r="AO15" s="13"/>
      <c r="AP15" s="13"/>
      <c r="AQ15" s="13"/>
      <c r="AR15" s="14"/>
    </row>
    <row r="16" spans="1:44" ht="14.25" customHeight="1" x14ac:dyDescent="0.3">
      <c r="A16" s="353"/>
      <c r="B16" s="353"/>
      <c r="C16" s="10"/>
      <c r="D16" s="7"/>
      <c r="E16" s="45"/>
      <c r="F16" s="25"/>
      <c r="G16" s="16"/>
      <c r="H16" s="16"/>
      <c r="I16" s="7"/>
      <c r="J16" s="45"/>
      <c r="K16" s="25"/>
      <c r="L16" s="16"/>
      <c r="M16" s="16"/>
      <c r="N16" s="3" t="s">
        <v>47</v>
      </c>
      <c r="O16" s="48">
        <f>'Unit Fungsi'!K16</f>
        <v>3.1853188397032023E-2</v>
      </c>
      <c r="P16" s="61" t="s">
        <v>204</v>
      </c>
      <c r="Q16" s="61">
        <v>0</v>
      </c>
      <c r="R16" s="60">
        <f t="shared" si="3"/>
        <v>0</v>
      </c>
      <c r="S16" s="7"/>
      <c r="T16" s="7"/>
      <c r="U16" s="24"/>
      <c r="V16" s="24"/>
      <c r="W16" s="24"/>
      <c r="X16" s="16"/>
      <c r="Y16" s="25"/>
      <c r="Z16" s="25"/>
      <c r="AA16" s="25"/>
      <c r="AB16" s="7"/>
      <c r="AC16" s="16"/>
      <c r="AD16" s="7"/>
      <c r="AE16" s="7"/>
      <c r="AF16" s="7"/>
      <c r="AG16" s="7"/>
      <c r="AH16" s="24"/>
      <c r="AI16" s="24"/>
      <c r="AJ16" s="13"/>
      <c r="AK16" s="13"/>
      <c r="AL16" s="13"/>
      <c r="AM16" s="13"/>
      <c r="AN16" s="13"/>
      <c r="AO16" s="13"/>
      <c r="AP16" s="13"/>
      <c r="AQ16" s="13"/>
      <c r="AR16" s="14"/>
    </row>
    <row r="17" spans="1:44" ht="14.25" customHeight="1" x14ac:dyDescent="0.35">
      <c r="A17" s="354"/>
      <c r="B17" s="354"/>
      <c r="C17" s="10"/>
      <c r="D17" s="7"/>
      <c r="E17" s="45"/>
      <c r="F17" s="25"/>
      <c r="G17" s="16"/>
      <c r="H17" s="16"/>
      <c r="I17" s="7"/>
      <c r="J17" s="45"/>
      <c r="K17" s="25"/>
      <c r="L17" s="16"/>
      <c r="M17" s="16"/>
      <c r="N17" s="26"/>
      <c r="O17" s="26"/>
      <c r="P17" s="26"/>
      <c r="Q17" s="26"/>
      <c r="R17" s="26"/>
      <c r="S17" s="7"/>
      <c r="T17" s="7"/>
      <c r="U17" s="24"/>
      <c r="V17" s="24"/>
      <c r="W17" s="7"/>
      <c r="X17" s="16"/>
      <c r="Y17" s="25"/>
      <c r="Z17" s="16"/>
      <c r="AA17" s="16"/>
      <c r="AB17" s="7"/>
      <c r="AC17" s="16"/>
      <c r="AD17" s="7"/>
      <c r="AE17" s="7"/>
      <c r="AF17" s="7"/>
      <c r="AG17" s="7"/>
      <c r="AH17" s="24"/>
      <c r="AI17" s="24"/>
      <c r="AJ17" s="13"/>
      <c r="AK17" s="13"/>
      <c r="AL17" s="13"/>
      <c r="AM17" s="13"/>
      <c r="AN17" s="13"/>
      <c r="AO17" s="13"/>
      <c r="AP17" s="13"/>
      <c r="AQ17" s="13"/>
      <c r="AR17" s="14"/>
    </row>
    <row r="18" spans="1:44" ht="14.25" customHeight="1" x14ac:dyDescent="0.3">
      <c r="A18" s="378">
        <v>4</v>
      </c>
      <c r="B18" s="358" t="s">
        <v>49</v>
      </c>
      <c r="C18" s="14" t="s">
        <v>19</v>
      </c>
      <c r="D18" s="5" t="s">
        <v>50</v>
      </c>
      <c r="E18" s="43">
        <f>'Unit Fungsi'!E18</f>
        <v>24.839966543981944</v>
      </c>
      <c r="F18" s="18" t="s">
        <v>201</v>
      </c>
      <c r="G18" s="18">
        <v>0</v>
      </c>
      <c r="H18" s="60">
        <f>E18*G18</f>
        <v>0</v>
      </c>
      <c r="I18" s="3" t="s">
        <v>22</v>
      </c>
      <c r="J18" s="50">
        <f>'Unit Fungsi'!H18</f>
        <v>9.197851763478754</v>
      </c>
      <c r="K18" s="18" t="s">
        <v>203</v>
      </c>
      <c r="L18" s="51">
        <f>L4</f>
        <v>5.1500000000000001E-3</v>
      </c>
      <c r="M18" s="52">
        <f>J18*L18</f>
        <v>4.7368936581915586E-2</v>
      </c>
      <c r="N18" s="7"/>
      <c r="O18" s="7"/>
      <c r="P18" s="7"/>
      <c r="Q18" s="7"/>
      <c r="R18" s="7"/>
      <c r="S18" s="7"/>
      <c r="T18" s="7"/>
      <c r="U18" s="24"/>
      <c r="V18" s="24"/>
      <c r="W18" s="8" t="s">
        <v>24</v>
      </c>
      <c r="X18" s="44">
        <f>'Unit Fungsi'!P18</f>
        <v>4.6914061003794451E-2</v>
      </c>
      <c r="Y18" s="20" t="s">
        <v>205</v>
      </c>
      <c r="Z18" s="53">
        <f t="shared" ref="Z18:Z20" si="6">Z4</f>
        <v>3.6900000000000002E-2</v>
      </c>
      <c r="AA18" s="54">
        <f t="shared" ref="AA18:AA20" si="7">X18*Z18</f>
        <v>1.7311288510400153E-3</v>
      </c>
      <c r="AB18" s="5" t="s">
        <v>50</v>
      </c>
      <c r="AC18" s="43">
        <f>'Unit Fungsi'!S18</f>
        <v>24.839966543981944</v>
      </c>
      <c r="AD18" s="6" t="s">
        <v>40</v>
      </c>
      <c r="AE18" s="7"/>
      <c r="AF18" s="7"/>
      <c r="AG18" s="7"/>
      <c r="AH18" s="24"/>
      <c r="AI18" s="24"/>
      <c r="AJ18" s="13"/>
      <c r="AK18" s="13"/>
      <c r="AL18" s="13"/>
      <c r="AM18" s="13"/>
      <c r="AN18" s="13"/>
      <c r="AO18" s="13"/>
      <c r="AP18" s="13"/>
      <c r="AQ18" s="13"/>
      <c r="AR18" s="14"/>
    </row>
    <row r="19" spans="1:44" ht="14.25" customHeight="1" x14ac:dyDescent="0.3">
      <c r="A19" s="353"/>
      <c r="B19" s="353"/>
      <c r="C19" s="14" t="s">
        <v>51</v>
      </c>
      <c r="D19" s="7"/>
      <c r="E19" s="16"/>
      <c r="F19" s="25"/>
      <c r="G19" s="16"/>
      <c r="H19" s="16"/>
      <c r="I19" s="7"/>
      <c r="J19" s="45"/>
      <c r="K19" s="25"/>
      <c r="L19" s="16"/>
      <c r="M19" s="16"/>
      <c r="N19" s="7"/>
      <c r="O19" s="7"/>
      <c r="P19" s="7"/>
      <c r="Q19" s="7"/>
      <c r="R19" s="7"/>
      <c r="S19" s="7"/>
      <c r="T19" s="7"/>
      <c r="U19" s="24"/>
      <c r="V19" s="24"/>
      <c r="W19" s="17" t="s">
        <v>29</v>
      </c>
      <c r="X19" s="44">
        <f>'Unit Fungsi'!P19</f>
        <v>0.7134037784789391</v>
      </c>
      <c r="Y19" s="18" t="s">
        <v>206</v>
      </c>
      <c r="Z19" s="55">
        <f t="shared" si="6"/>
        <v>8.77E-3</v>
      </c>
      <c r="AA19" s="56">
        <f t="shared" si="7"/>
        <v>6.256551137260296E-3</v>
      </c>
      <c r="AB19" s="7"/>
      <c r="AC19" s="16"/>
      <c r="AD19" s="7"/>
      <c r="AE19" s="7"/>
      <c r="AF19" s="7"/>
      <c r="AG19" s="7"/>
      <c r="AH19" s="24"/>
      <c r="AI19" s="24"/>
      <c r="AJ19" s="13"/>
      <c r="AK19" s="13"/>
      <c r="AL19" s="13"/>
      <c r="AM19" s="13"/>
      <c r="AN19" s="13"/>
      <c r="AO19" s="13"/>
      <c r="AP19" s="13"/>
      <c r="AQ19" s="13"/>
      <c r="AR19" s="14"/>
    </row>
    <row r="20" spans="1:44" ht="14.25" customHeight="1" x14ac:dyDescent="0.3">
      <c r="A20" s="353"/>
      <c r="B20" s="353"/>
      <c r="C20" s="14"/>
      <c r="D20" s="7"/>
      <c r="E20" s="16"/>
      <c r="F20" s="25"/>
      <c r="G20" s="16"/>
      <c r="H20" s="16"/>
      <c r="I20" s="7"/>
      <c r="J20" s="45"/>
      <c r="K20" s="25"/>
      <c r="L20" s="16"/>
      <c r="M20" s="16"/>
      <c r="N20" s="7"/>
      <c r="O20" s="7"/>
      <c r="P20" s="7"/>
      <c r="Q20" s="7"/>
      <c r="R20" s="7"/>
      <c r="S20" s="7"/>
      <c r="T20" s="7"/>
      <c r="U20" s="24"/>
      <c r="V20" s="24"/>
      <c r="W20" s="17" t="s">
        <v>31</v>
      </c>
      <c r="X20" s="44">
        <f>'Unit Fungsi'!P20</f>
        <v>27.882033368472637</v>
      </c>
      <c r="Y20" s="18" t="s">
        <v>207</v>
      </c>
      <c r="Z20" s="55">
        <f t="shared" si="6"/>
        <v>2.2899999999999999E-3</v>
      </c>
      <c r="AA20" s="56">
        <f t="shared" si="7"/>
        <v>6.3849856413802336E-2</v>
      </c>
      <c r="AB20" s="7"/>
      <c r="AC20" s="16"/>
      <c r="AD20" s="7"/>
      <c r="AE20" s="7"/>
      <c r="AF20" s="7"/>
      <c r="AG20" s="7"/>
      <c r="AH20" s="24"/>
      <c r="AI20" s="24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1:44" ht="14.25" customHeight="1" x14ac:dyDescent="0.3">
      <c r="A21" s="354"/>
      <c r="B21" s="354"/>
      <c r="C21" s="14"/>
      <c r="D21" s="7"/>
      <c r="E21" s="16"/>
      <c r="F21" s="25"/>
      <c r="G21" s="16"/>
      <c r="H21" s="16"/>
      <c r="I21" s="7"/>
      <c r="J21" s="45"/>
      <c r="K21" s="25"/>
      <c r="L21" s="16"/>
      <c r="M21" s="16"/>
      <c r="N21" s="7"/>
      <c r="O21" s="7"/>
      <c r="P21" s="7"/>
      <c r="Q21" s="7"/>
      <c r="R21" s="7"/>
      <c r="S21" s="7"/>
      <c r="T21" s="7"/>
      <c r="U21" s="24"/>
      <c r="V21" s="24"/>
      <c r="W21" s="7"/>
      <c r="X21" s="46"/>
      <c r="Y21" s="25"/>
      <c r="Z21" s="16"/>
      <c r="AA21" s="16"/>
      <c r="AB21" s="7"/>
      <c r="AC21" s="16"/>
      <c r="AD21" s="7"/>
      <c r="AE21" s="7"/>
      <c r="AF21" s="7"/>
      <c r="AG21" s="7"/>
      <c r="AH21" s="24"/>
      <c r="AI21" s="24"/>
      <c r="AJ21" s="13"/>
      <c r="AK21" s="13"/>
      <c r="AL21" s="13"/>
      <c r="AM21" s="13"/>
      <c r="AN21" s="13"/>
      <c r="AO21" s="13"/>
      <c r="AP21" s="13"/>
      <c r="AQ21" s="13"/>
      <c r="AR21" s="14"/>
    </row>
    <row r="22" spans="1:44" ht="14.25" customHeight="1" x14ac:dyDescent="0.3">
      <c r="A22" s="356">
        <v>5</v>
      </c>
      <c r="B22" s="358" t="s">
        <v>52</v>
      </c>
      <c r="C22" s="28" t="s">
        <v>53</v>
      </c>
      <c r="D22" s="5" t="s">
        <v>54</v>
      </c>
      <c r="E22" s="6">
        <f>'Unit Fungsi'!E22</f>
        <v>1</v>
      </c>
      <c r="F22" s="18" t="s">
        <v>202</v>
      </c>
      <c r="G22" s="6">
        <f>CF!H6</f>
        <v>4.0000000000000002E-4</v>
      </c>
      <c r="H22" s="60">
        <f>E22*G22</f>
        <v>4.0000000000000002E-4</v>
      </c>
      <c r="I22" s="3" t="s">
        <v>22</v>
      </c>
      <c r="J22" s="48">
        <f>'Unit Fungsi'!H22</f>
        <v>0.15524651167584114</v>
      </c>
      <c r="K22" s="18" t="s">
        <v>203</v>
      </c>
      <c r="L22" s="51">
        <f>L4</f>
        <v>5.1500000000000001E-3</v>
      </c>
      <c r="M22" s="52">
        <f>J22*L22</f>
        <v>7.9951953513058183E-4</v>
      </c>
      <c r="N22" s="7"/>
      <c r="O22" s="7"/>
      <c r="P22" s="7"/>
      <c r="Q22" s="7"/>
      <c r="R22" s="7"/>
      <c r="S22" s="7"/>
      <c r="T22" s="7"/>
      <c r="U22" s="24"/>
      <c r="V22" s="24"/>
      <c r="W22" s="8" t="s">
        <v>24</v>
      </c>
      <c r="X22" s="44">
        <f>'Unit Fungsi'!P22</f>
        <v>7.9184188946224924E-4</v>
      </c>
      <c r="Y22" s="20" t="s">
        <v>205</v>
      </c>
      <c r="Z22" s="53">
        <f t="shared" ref="Z22:Z24" si="8">Z4</f>
        <v>3.6900000000000002E-2</v>
      </c>
      <c r="AA22" s="54">
        <f t="shared" ref="AA22:AA24" si="9">X22*Z22</f>
        <v>2.9218965721156997E-5</v>
      </c>
      <c r="AB22" s="17" t="s">
        <v>54</v>
      </c>
      <c r="AC22" s="6">
        <f>'Unit Fungsi'!S22</f>
        <v>1</v>
      </c>
      <c r="AD22" s="6" t="s">
        <v>55</v>
      </c>
      <c r="AE22" s="7"/>
      <c r="AF22" s="7"/>
      <c r="AG22" s="7"/>
      <c r="AH22" s="24"/>
      <c r="AI22" s="24"/>
      <c r="AJ22" s="13"/>
      <c r="AK22" s="13"/>
      <c r="AL22" s="13"/>
      <c r="AM22" s="13"/>
      <c r="AN22" s="13"/>
      <c r="AO22" s="13"/>
      <c r="AP22" s="13"/>
      <c r="AQ22" s="13"/>
      <c r="AR22" s="14"/>
    </row>
    <row r="23" spans="1:44" ht="14.25" customHeight="1" x14ac:dyDescent="0.3">
      <c r="A23" s="353"/>
      <c r="B23" s="353"/>
      <c r="C23" s="28"/>
      <c r="D23" s="7"/>
      <c r="E23" s="16"/>
      <c r="F23" s="25"/>
      <c r="G23" s="16"/>
      <c r="H23" s="16"/>
      <c r="I23" s="7"/>
      <c r="J23" s="45"/>
      <c r="K23" s="25"/>
      <c r="L23" s="16"/>
      <c r="M23" s="16"/>
      <c r="N23" s="7"/>
      <c r="O23" s="7"/>
      <c r="P23" s="7"/>
      <c r="Q23" s="7"/>
      <c r="R23" s="7"/>
      <c r="S23" s="7"/>
      <c r="T23" s="7"/>
      <c r="U23" s="24"/>
      <c r="V23" s="24"/>
      <c r="W23" s="17" t="s">
        <v>29</v>
      </c>
      <c r="X23" s="44">
        <f>'Unit Fungsi'!P23</f>
        <v>1.2041229938601588E-2</v>
      </c>
      <c r="Y23" s="18" t="s">
        <v>206</v>
      </c>
      <c r="Z23" s="55">
        <f t="shared" si="8"/>
        <v>8.77E-3</v>
      </c>
      <c r="AA23" s="56">
        <f t="shared" si="9"/>
        <v>1.0560158656153592E-4</v>
      </c>
      <c r="AB23" s="24"/>
      <c r="AC23" s="16"/>
      <c r="AD23" s="16"/>
      <c r="AE23" s="7"/>
      <c r="AF23" s="7"/>
      <c r="AG23" s="7"/>
      <c r="AH23" s="24"/>
      <c r="AI23" s="24"/>
      <c r="AJ23" s="13"/>
      <c r="AK23" s="13"/>
      <c r="AL23" s="13"/>
      <c r="AM23" s="13"/>
      <c r="AN23" s="13"/>
      <c r="AO23" s="13"/>
      <c r="AP23" s="13"/>
      <c r="AQ23" s="13"/>
      <c r="AR23" s="14"/>
    </row>
    <row r="24" spans="1:44" ht="14.25" customHeight="1" x14ac:dyDescent="0.3">
      <c r="A24" s="353"/>
      <c r="B24" s="353"/>
      <c r="C24" s="28"/>
      <c r="D24" s="7"/>
      <c r="E24" s="16"/>
      <c r="F24" s="25"/>
      <c r="G24" s="16"/>
      <c r="H24" s="16"/>
      <c r="I24" s="7"/>
      <c r="J24" s="45"/>
      <c r="K24" s="25"/>
      <c r="L24" s="16"/>
      <c r="M24" s="16"/>
      <c r="N24" s="7"/>
      <c r="O24" s="7"/>
      <c r="P24" s="7"/>
      <c r="Q24" s="7"/>
      <c r="R24" s="7"/>
      <c r="S24" s="7"/>
      <c r="T24" s="7"/>
      <c r="U24" s="24"/>
      <c r="V24" s="24"/>
      <c r="W24" s="17" t="s">
        <v>31</v>
      </c>
      <c r="X24" s="44">
        <f>'Unit Fungsi'!P24</f>
        <v>0.47060863016644744</v>
      </c>
      <c r="Y24" s="18" t="s">
        <v>207</v>
      </c>
      <c r="Z24" s="55">
        <f t="shared" si="8"/>
        <v>2.2899999999999999E-3</v>
      </c>
      <c r="AA24" s="56">
        <f t="shared" si="9"/>
        <v>1.0776937630811647E-3</v>
      </c>
      <c r="AB24" s="24"/>
      <c r="AC24" s="16"/>
      <c r="AD24" s="16"/>
      <c r="AE24" s="7"/>
      <c r="AF24" s="7"/>
      <c r="AG24" s="7"/>
      <c r="AH24" s="24"/>
      <c r="AI24" s="24"/>
      <c r="AJ24" s="13"/>
      <c r="AK24" s="13"/>
      <c r="AL24" s="13"/>
      <c r="AM24" s="13"/>
      <c r="AN24" s="13"/>
      <c r="AO24" s="13"/>
      <c r="AP24" s="13"/>
      <c r="AQ24" s="13"/>
      <c r="AR24" s="14"/>
    </row>
    <row r="25" spans="1:44" ht="14.25" customHeight="1" x14ac:dyDescent="0.3">
      <c r="A25" s="354"/>
      <c r="B25" s="354"/>
      <c r="C25" s="28"/>
      <c r="D25" s="7"/>
      <c r="E25" s="16"/>
      <c r="F25" s="25"/>
      <c r="G25" s="16"/>
      <c r="H25" s="16"/>
      <c r="I25" s="7"/>
      <c r="J25" s="45"/>
      <c r="K25" s="25"/>
      <c r="L25" s="16"/>
      <c r="M25" s="16"/>
      <c r="N25" s="7"/>
      <c r="O25" s="7"/>
      <c r="P25" s="7"/>
      <c r="Q25" s="7"/>
      <c r="R25" s="7"/>
      <c r="S25" s="7"/>
      <c r="T25" s="7"/>
      <c r="U25" s="24"/>
      <c r="V25" s="24"/>
      <c r="W25" s="7"/>
      <c r="X25" s="46"/>
      <c r="Y25" s="25"/>
      <c r="Z25" s="16"/>
      <c r="AA25" s="16"/>
      <c r="AB25" s="24"/>
      <c r="AC25" s="16"/>
      <c r="AD25" s="16"/>
      <c r="AE25" s="7"/>
      <c r="AF25" s="7"/>
      <c r="AG25" s="7"/>
      <c r="AH25" s="24"/>
      <c r="AI25" s="24"/>
      <c r="AJ25" s="13"/>
      <c r="AK25" s="13"/>
      <c r="AL25" s="13"/>
      <c r="AM25" s="13"/>
      <c r="AN25" s="13"/>
      <c r="AO25" s="13"/>
      <c r="AP25" s="13"/>
      <c r="AQ25" s="13"/>
      <c r="AR25" s="14"/>
    </row>
    <row r="26" spans="1:44" ht="14.25" customHeight="1" x14ac:dyDescent="0.3">
      <c r="A26" s="378">
        <v>6</v>
      </c>
      <c r="B26" s="358" t="s">
        <v>56</v>
      </c>
      <c r="C26" s="28" t="s">
        <v>57</v>
      </c>
      <c r="D26" s="5" t="s">
        <v>54</v>
      </c>
      <c r="E26" s="6">
        <f>'Unit Fungsi'!E26</f>
        <v>1</v>
      </c>
      <c r="F26" s="18" t="s">
        <v>202</v>
      </c>
      <c r="G26" s="6">
        <f>G22</f>
        <v>4.0000000000000002E-4</v>
      </c>
      <c r="H26" s="60">
        <f>E26*G26</f>
        <v>4.0000000000000002E-4</v>
      </c>
      <c r="I26" s="3" t="s">
        <v>22</v>
      </c>
      <c r="J26" s="48">
        <f>'Unit Fungsi'!H26</f>
        <v>0.3662570239060281</v>
      </c>
      <c r="K26" s="18" t="s">
        <v>203</v>
      </c>
      <c r="L26" s="51">
        <f>L4</f>
        <v>5.1500000000000001E-3</v>
      </c>
      <c r="M26" s="52">
        <f>J26*L26</f>
        <v>1.8862236731160447E-3</v>
      </c>
      <c r="N26" s="7"/>
      <c r="O26" s="7"/>
      <c r="P26" s="7"/>
      <c r="Q26" s="7"/>
      <c r="R26" s="7"/>
      <c r="S26" s="7"/>
      <c r="T26" s="7"/>
      <c r="U26" s="24"/>
      <c r="V26" s="24"/>
      <c r="W26" s="8" t="s">
        <v>24</v>
      </c>
      <c r="X26" s="44">
        <f>'Unit Fungsi'!P26</f>
        <v>1.8681105984792374E-3</v>
      </c>
      <c r="Y26" s="20" t="s">
        <v>205</v>
      </c>
      <c r="Z26" s="53">
        <f t="shared" ref="Z26:Z28" si="10">Z4</f>
        <v>3.6900000000000002E-2</v>
      </c>
      <c r="AA26" s="54">
        <f t="shared" ref="AA26:AA28" si="11">X26*Z26</f>
        <v>6.8933281083883869E-5</v>
      </c>
      <c r="AB26" s="17" t="s">
        <v>54</v>
      </c>
      <c r="AC26" s="6">
        <f>'Unit Fungsi'!S26</f>
        <v>1</v>
      </c>
      <c r="AD26" s="6" t="s">
        <v>55</v>
      </c>
      <c r="AE26" s="7"/>
      <c r="AF26" s="7"/>
      <c r="AG26" s="7"/>
      <c r="AH26" s="24"/>
      <c r="AI26" s="24"/>
      <c r="AJ26" s="13"/>
      <c r="AK26" s="13"/>
      <c r="AL26" s="13"/>
      <c r="AM26" s="13"/>
      <c r="AN26" s="13"/>
      <c r="AO26" s="13"/>
      <c r="AP26" s="13"/>
      <c r="AQ26" s="13"/>
      <c r="AR26" s="14"/>
    </row>
    <row r="27" spans="1:44" ht="14.25" customHeight="1" x14ac:dyDescent="0.3">
      <c r="A27" s="353"/>
      <c r="B27" s="353"/>
      <c r="C27" s="28"/>
      <c r="D27" s="7"/>
      <c r="E27" s="16"/>
      <c r="F27" s="25"/>
      <c r="G27" s="16"/>
      <c r="H27" s="16"/>
      <c r="I27" s="7"/>
      <c r="J27" s="45"/>
      <c r="K27" s="25"/>
      <c r="L27" s="16"/>
      <c r="M27" s="16"/>
      <c r="N27" s="7"/>
      <c r="O27" s="7"/>
      <c r="P27" s="7"/>
      <c r="Q27" s="7"/>
      <c r="R27" s="7"/>
      <c r="S27" s="7"/>
      <c r="T27" s="7"/>
      <c r="U27" s="24"/>
      <c r="V27" s="24"/>
      <c r="W27" s="17" t="s">
        <v>29</v>
      </c>
      <c r="X27" s="44">
        <f>'Unit Fungsi'!P27</f>
        <v>2.8407627288199351E-2</v>
      </c>
      <c r="Y27" s="18" t="s">
        <v>206</v>
      </c>
      <c r="Z27" s="55">
        <f t="shared" si="10"/>
        <v>8.77E-3</v>
      </c>
      <c r="AA27" s="56">
        <f t="shared" si="11"/>
        <v>2.4913489131750833E-4</v>
      </c>
      <c r="AB27" s="24"/>
      <c r="AC27" s="16"/>
      <c r="AD27" s="16"/>
      <c r="AE27" s="7"/>
      <c r="AF27" s="7"/>
      <c r="AG27" s="7"/>
      <c r="AH27" s="24"/>
      <c r="AI27" s="24"/>
      <c r="AJ27" s="13"/>
      <c r="AK27" s="13"/>
      <c r="AL27" s="13"/>
      <c r="AM27" s="13"/>
      <c r="AN27" s="13"/>
      <c r="AO27" s="13"/>
      <c r="AP27" s="13"/>
      <c r="AQ27" s="13"/>
      <c r="AR27" s="14"/>
    </row>
    <row r="28" spans="1:44" ht="14.25" customHeight="1" x14ac:dyDescent="0.3">
      <c r="A28" s="353"/>
      <c r="B28" s="353"/>
      <c r="C28" s="28"/>
      <c r="D28" s="7"/>
      <c r="E28" s="16"/>
      <c r="F28" s="25"/>
      <c r="G28" s="16"/>
      <c r="H28" s="16"/>
      <c r="I28" s="7"/>
      <c r="J28" s="45"/>
      <c r="K28" s="25"/>
      <c r="L28" s="16"/>
      <c r="M28" s="16"/>
      <c r="N28" s="7"/>
      <c r="O28" s="7"/>
      <c r="P28" s="7"/>
      <c r="Q28" s="7"/>
      <c r="R28" s="7"/>
      <c r="S28" s="7"/>
      <c r="T28" s="7"/>
      <c r="U28" s="24"/>
      <c r="V28" s="24"/>
      <c r="W28" s="17" t="s">
        <v>31</v>
      </c>
      <c r="X28" s="44">
        <f>'Unit Fungsi'!P28</f>
        <v>1.1102582238315004</v>
      </c>
      <c r="Y28" s="18" t="s">
        <v>207</v>
      </c>
      <c r="Z28" s="55">
        <f t="shared" si="10"/>
        <v>2.2899999999999999E-3</v>
      </c>
      <c r="AA28" s="56">
        <f t="shared" si="11"/>
        <v>2.5424913325741358E-3</v>
      </c>
      <c r="AB28" s="24"/>
      <c r="AC28" s="16"/>
      <c r="AD28" s="16"/>
      <c r="AE28" s="7"/>
      <c r="AF28" s="7"/>
      <c r="AG28" s="7"/>
      <c r="AH28" s="24"/>
      <c r="AI28" s="24"/>
      <c r="AJ28" s="13"/>
      <c r="AK28" s="13"/>
      <c r="AL28" s="13"/>
      <c r="AM28" s="13"/>
      <c r="AN28" s="13"/>
      <c r="AO28" s="13"/>
      <c r="AP28" s="13"/>
      <c r="AQ28" s="13"/>
      <c r="AR28" s="14"/>
    </row>
    <row r="29" spans="1:44" ht="14.25" customHeight="1" x14ac:dyDescent="0.3">
      <c r="A29" s="354"/>
      <c r="B29" s="354"/>
      <c r="C29" s="28"/>
      <c r="D29" s="7"/>
      <c r="E29" s="16"/>
      <c r="F29" s="25"/>
      <c r="G29" s="16"/>
      <c r="H29" s="16"/>
      <c r="I29" s="7"/>
      <c r="J29" s="45"/>
      <c r="K29" s="25"/>
      <c r="L29" s="16"/>
      <c r="M29" s="16"/>
      <c r="N29" s="7"/>
      <c r="O29" s="7"/>
      <c r="P29" s="7"/>
      <c r="Q29" s="7"/>
      <c r="R29" s="7"/>
      <c r="S29" s="7"/>
      <c r="T29" s="7"/>
      <c r="U29" s="24"/>
      <c r="V29" s="24"/>
      <c r="W29" s="7"/>
      <c r="X29" s="46"/>
      <c r="Y29" s="25"/>
      <c r="Z29" s="16"/>
      <c r="AA29" s="16"/>
      <c r="AB29" s="24"/>
      <c r="AC29" s="16"/>
      <c r="AD29" s="16"/>
      <c r="AE29" s="7"/>
      <c r="AF29" s="7"/>
      <c r="AG29" s="7"/>
      <c r="AH29" s="24"/>
      <c r="AI29" s="24"/>
      <c r="AJ29" s="13"/>
      <c r="AK29" s="13"/>
      <c r="AL29" s="13"/>
      <c r="AM29" s="13"/>
      <c r="AN29" s="13"/>
      <c r="AO29" s="13"/>
      <c r="AP29" s="13"/>
      <c r="AQ29" s="13"/>
      <c r="AR29" s="14"/>
    </row>
    <row r="30" spans="1:44" ht="14.25" customHeight="1" x14ac:dyDescent="0.3">
      <c r="A30" s="356">
        <v>7</v>
      </c>
      <c r="B30" s="358" t="s">
        <v>58</v>
      </c>
      <c r="C30" s="28" t="s">
        <v>28</v>
      </c>
      <c r="D30" s="5" t="s">
        <v>54</v>
      </c>
      <c r="E30" s="6">
        <f>'Unit Fungsi'!E30</f>
        <v>1</v>
      </c>
      <c r="F30" s="18" t="s">
        <v>202</v>
      </c>
      <c r="G30" s="6">
        <f>G22</f>
        <v>4.0000000000000002E-4</v>
      </c>
      <c r="H30" s="60">
        <f>E30*G30</f>
        <v>4.0000000000000002E-4</v>
      </c>
      <c r="I30" s="5" t="s">
        <v>22</v>
      </c>
      <c r="J30" s="43">
        <f>'Unit Fungsi'!H30</f>
        <v>0.94669558955441135</v>
      </c>
      <c r="K30" s="18" t="s">
        <v>203</v>
      </c>
      <c r="L30" s="44">
        <f>L4</f>
        <v>5.1500000000000001E-3</v>
      </c>
      <c r="M30" s="52">
        <f>J30*L30</f>
        <v>4.8754822862052188E-3</v>
      </c>
      <c r="N30" s="7"/>
      <c r="O30" s="7"/>
      <c r="P30" s="7"/>
      <c r="Q30" s="7"/>
      <c r="R30" s="7"/>
      <c r="S30" s="7"/>
      <c r="T30" s="7"/>
      <c r="U30" s="24"/>
      <c r="V30" s="24"/>
      <c r="W30" s="8" t="s">
        <v>24</v>
      </c>
      <c r="X30" s="44">
        <f>'Unit Fungsi'!P30</f>
        <v>4.828663886139983E-3</v>
      </c>
      <c r="Y30" s="20" t="s">
        <v>205</v>
      </c>
      <c r="Z30" s="53">
        <f t="shared" ref="Z30:Z32" si="12">Z4</f>
        <v>3.6900000000000002E-2</v>
      </c>
      <c r="AA30" s="54">
        <f t="shared" ref="AA30:AA32" si="13">X30*Z30</f>
        <v>1.781776973985654E-4</v>
      </c>
      <c r="AB30" s="17" t="s">
        <v>54</v>
      </c>
      <c r="AC30" s="6">
        <f>'Unit Fungsi'!S30</f>
        <v>1</v>
      </c>
      <c r="AD30" s="6" t="s">
        <v>55</v>
      </c>
      <c r="AE30" s="7"/>
      <c r="AF30" s="7"/>
      <c r="AG30" s="7"/>
      <c r="AH30" s="24"/>
      <c r="AI30" s="24"/>
      <c r="AJ30" s="13"/>
      <c r="AK30" s="13"/>
      <c r="AL30" s="13"/>
      <c r="AM30" s="13"/>
      <c r="AN30" s="13"/>
      <c r="AO30" s="13"/>
      <c r="AP30" s="13"/>
      <c r="AQ30" s="13"/>
      <c r="AR30" s="14"/>
    </row>
    <row r="31" spans="1:44" ht="14.25" customHeight="1" x14ac:dyDescent="0.3">
      <c r="A31" s="353"/>
      <c r="B31" s="353"/>
      <c r="C31" s="29" t="s">
        <v>59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7" t="s">
        <v>29</v>
      </c>
      <c r="X31" s="44">
        <f>'Unit Fungsi'!P31</f>
        <v>7.3427603317019252E-2</v>
      </c>
      <c r="Y31" s="18" t="s">
        <v>206</v>
      </c>
      <c r="Z31" s="55">
        <f t="shared" si="12"/>
        <v>8.77E-3</v>
      </c>
      <c r="AA31" s="56">
        <f t="shared" si="13"/>
        <v>6.4396008109025881E-4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</row>
    <row r="32" spans="1:44" ht="14.25" customHeight="1" x14ac:dyDescent="0.3">
      <c r="A32" s="353"/>
      <c r="B32" s="353"/>
      <c r="C32" s="28" t="s">
        <v>57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 t="s">
        <v>31</v>
      </c>
      <c r="X32" s="44">
        <f>'Unit Fungsi'!P32</f>
        <v>2.8697785848810766</v>
      </c>
      <c r="Y32" s="18" t="s">
        <v>207</v>
      </c>
      <c r="Z32" s="55">
        <f t="shared" si="12"/>
        <v>2.2899999999999999E-3</v>
      </c>
      <c r="AA32" s="56">
        <f t="shared" si="13"/>
        <v>6.5717929593776649E-3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</row>
    <row r="33" spans="1:50" ht="14.25" customHeight="1" x14ac:dyDescent="0.3">
      <c r="A33" s="353"/>
      <c r="B33" s="353"/>
      <c r="C33" s="28" t="s">
        <v>19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4"/>
    </row>
    <row r="34" spans="1:50" ht="14.25" customHeight="1" x14ac:dyDescent="0.3">
      <c r="A34" s="353"/>
      <c r="B34" s="353"/>
      <c r="C34" s="29" t="s">
        <v>60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</row>
    <row r="35" spans="1:50" ht="14.25" customHeight="1" x14ac:dyDescent="0.3">
      <c r="A35" s="353"/>
      <c r="B35" s="353"/>
      <c r="C35" s="29" t="s">
        <v>61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</row>
    <row r="36" spans="1:50" ht="14.25" customHeight="1" x14ac:dyDescent="0.3">
      <c r="A36" s="353"/>
      <c r="B36" s="353"/>
      <c r="C36" s="28" t="s">
        <v>62</v>
      </c>
      <c r="D36" s="13"/>
      <c r="E36" s="3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1:50" ht="14.25" customHeight="1" x14ac:dyDescent="0.3">
      <c r="A37" s="353"/>
      <c r="B37" s="353"/>
      <c r="C37" s="29" t="s">
        <v>63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</row>
    <row r="38" spans="1:50" ht="14.25" customHeight="1" x14ac:dyDescent="0.3">
      <c r="A38" s="354"/>
      <c r="B38" s="354"/>
      <c r="C38" s="29" t="s">
        <v>64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</row>
    <row r="39" spans="1:50" s="264" customFormat="1" ht="14.25" customHeight="1" x14ac:dyDescent="0.3">
      <c r="A39" s="346">
        <v>8</v>
      </c>
      <c r="B39" s="349" t="s">
        <v>272</v>
      </c>
      <c r="C39" s="268" t="s">
        <v>283</v>
      </c>
      <c r="D39" s="283" t="s">
        <v>54</v>
      </c>
      <c r="E39" s="289">
        <f>'Unit Fungsi'!E39</f>
        <v>1</v>
      </c>
      <c r="F39" s="18" t="s">
        <v>202</v>
      </c>
      <c r="G39" s="18">
        <f>G30</f>
        <v>4.0000000000000002E-4</v>
      </c>
      <c r="H39" s="60">
        <f>E39*G39</f>
        <v>4.0000000000000002E-4</v>
      </c>
      <c r="I39" s="284" t="s">
        <v>22</v>
      </c>
      <c r="J39" s="291">
        <f>'Unit Fungsi'!H39</f>
        <v>0.45896578825032147</v>
      </c>
      <c r="K39" s="18" t="s">
        <v>203</v>
      </c>
      <c r="L39" s="55">
        <f>L12</f>
        <v>5.1500000000000001E-3</v>
      </c>
      <c r="M39" s="57">
        <f>J39*L39</f>
        <v>2.3636738094891556E-3</v>
      </c>
      <c r="N39" s="269"/>
      <c r="O39" s="269"/>
      <c r="P39" s="269"/>
      <c r="Q39" s="269"/>
      <c r="R39" s="269"/>
      <c r="S39" s="291">
        <f>'Unit Fungsi'!M39</f>
        <v>21.936256196726596</v>
      </c>
      <c r="T39" s="18" t="s">
        <v>203</v>
      </c>
      <c r="U39" s="293"/>
      <c r="V39" s="293"/>
      <c r="W39" s="277" t="s">
        <v>29</v>
      </c>
      <c r="X39" s="291">
        <f>'Unit Fungsi'!P39</f>
        <v>0.40990362334425118</v>
      </c>
      <c r="Y39" s="18" t="s">
        <v>206</v>
      </c>
      <c r="Z39" s="55">
        <f t="shared" ref="Z39:Z40" si="14">Z13</f>
        <v>8.77E-3</v>
      </c>
      <c r="AA39" s="56">
        <f>X39*Z39</f>
        <v>3.5948547767290827E-3</v>
      </c>
      <c r="AB39" s="17" t="s">
        <v>54</v>
      </c>
      <c r="AC39" s="264">
        <f>'Unit Fungsi'!S39</f>
        <v>1</v>
      </c>
      <c r="AD39" s="18" t="s">
        <v>55</v>
      </c>
      <c r="AE39" s="269"/>
      <c r="AF39" s="269"/>
      <c r="AG39" s="269"/>
      <c r="AH39" s="269"/>
      <c r="AI39" s="269"/>
      <c r="AJ39" s="291" t="str">
        <f>'Unit Fungsi'!X39</f>
        <v>Air Limbah</v>
      </c>
      <c r="AK39" s="292">
        <f>'Unit Fungsi'!Y39</f>
        <v>21.936256196726596</v>
      </c>
      <c r="AL39" s="277" t="s">
        <v>200</v>
      </c>
      <c r="AM39" s="292">
        <v>4.2500000000000003E-3</v>
      </c>
      <c r="AN39" s="300">
        <f>AM39*AK39</f>
        <v>9.3229088836088034E-2</v>
      </c>
      <c r="AO39" s="269"/>
      <c r="AP39" s="269"/>
      <c r="AQ39" s="269"/>
      <c r="AR39" s="277"/>
      <c r="AS39" s="292"/>
      <c r="AT39" s="292"/>
      <c r="AU39" s="288"/>
      <c r="AV39" s="288"/>
      <c r="AW39" s="288"/>
      <c r="AX39" s="287"/>
    </row>
    <row r="40" spans="1:50" s="264" customFormat="1" ht="14.25" customHeight="1" x14ac:dyDescent="0.3">
      <c r="A40" s="347"/>
      <c r="B40" s="350"/>
      <c r="C40" s="268"/>
      <c r="D40" s="284" t="s">
        <v>156</v>
      </c>
      <c r="E40" s="290">
        <f>'Unit Fungsi'!E40</f>
        <v>2.2355685488644349E-6</v>
      </c>
      <c r="F40" s="18" t="s">
        <v>202</v>
      </c>
      <c r="G40" s="293"/>
      <c r="H40" s="293"/>
      <c r="I40" s="284" t="s">
        <v>273</v>
      </c>
      <c r="J40" s="291">
        <f>'Unit Fungsi'!H40</f>
        <v>5.7370723531290184E-2</v>
      </c>
      <c r="K40" s="18" t="s">
        <v>203</v>
      </c>
      <c r="L40" s="55">
        <v>6.206999999999999E-3</v>
      </c>
      <c r="M40" s="57">
        <f>J40*L40</f>
        <v>3.5610008095871812E-4</v>
      </c>
      <c r="N40" s="269"/>
      <c r="O40" s="269"/>
      <c r="P40" s="269"/>
      <c r="Q40" s="269"/>
      <c r="R40" s="269"/>
      <c r="S40" s="269"/>
      <c r="T40" s="269"/>
      <c r="U40" s="269"/>
      <c r="V40" s="269"/>
      <c r="W40" s="277" t="s">
        <v>31</v>
      </c>
      <c r="X40" s="291">
        <f>'Unit Fungsi'!P40</f>
        <v>0.2834240641956331</v>
      </c>
      <c r="Y40" s="18" t="s">
        <v>207</v>
      </c>
      <c r="Z40" s="55">
        <f t="shared" si="14"/>
        <v>2.2899999999999999E-3</v>
      </c>
      <c r="AA40" s="56">
        <f>X40*Z40</f>
        <v>6.4904110700799973E-4</v>
      </c>
      <c r="AB40" s="269"/>
      <c r="AC40" s="269"/>
      <c r="AD40" s="269"/>
      <c r="AE40" s="282" t="s">
        <v>195</v>
      </c>
      <c r="AF40" s="291">
        <f>'Unit Fungsi'!V40</f>
        <v>2.5277799059977782E-6</v>
      </c>
      <c r="AG40" s="279" t="s">
        <v>202</v>
      </c>
      <c r="AH40" s="298">
        <v>1.8000000000000001E-4</v>
      </c>
      <c r="AI40" s="299">
        <f>AF40*AH40</f>
        <v>4.5500038307960011E-10</v>
      </c>
      <c r="AJ40" s="269"/>
      <c r="AK40" s="269"/>
      <c r="AL40" s="269"/>
      <c r="AM40" s="269"/>
      <c r="AN40" s="269"/>
      <c r="AO40" s="269"/>
      <c r="AP40" s="269"/>
      <c r="AQ40" s="269"/>
      <c r="AR40" s="288"/>
      <c r="AS40" s="288"/>
      <c r="AT40" s="288"/>
      <c r="AU40" s="288"/>
      <c r="AV40" s="288"/>
      <c r="AW40" s="288"/>
      <c r="AX40" s="287"/>
    </row>
    <row r="41" spans="1:50" s="264" customFormat="1" ht="14.25" customHeight="1" x14ac:dyDescent="0.3">
      <c r="A41" s="347"/>
      <c r="B41" s="350"/>
      <c r="C41" s="268"/>
      <c r="D41" s="284" t="s">
        <v>274</v>
      </c>
      <c r="E41" s="290">
        <f>'Unit Fungsi'!E41</f>
        <v>5.6919884053949107E-5</v>
      </c>
      <c r="F41" s="18" t="s">
        <v>202</v>
      </c>
      <c r="G41" s="293"/>
      <c r="H41" s="293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82" t="s">
        <v>275</v>
      </c>
      <c r="AF41" s="291">
        <f>'Unit Fungsi'!V41</f>
        <v>7.9553869134066085E-8</v>
      </c>
      <c r="AG41" s="279" t="s">
        <v>202</v>
      </c>
      <c r="AH41" s="298">
        <v>3.8600000000000001E-3</v>
      </c>
      <c r="AI41" s="299">
        <f t="shared" ref="AI41:AI48" si="15">AF41*AH41</f>
        <v>3.0707793485749513E-10</v>
      </c>
      <c r="AJ41" s="269"/>
      <c r="AK41" s="269"/>
      <c r="AL41" s="269"/>
      <c r="AM41" s="269"/>
      <c r="AN41" s="269"/>
      <c r="AO41" s="269"/>
      <c r="AP41" s="269"/>
      <c r="AQ41" s="269"/>
      <c r="AR41" s="288"/>
      <c r="AS41" s="288"/>
      <c r="AT41" s="288"/>
      <c r="AU41" s="288"/>
      <c r="AV41" s="288"/>
      <c r="AW41" s="288"/>
      <c r="AX41" s="287"/>
    </row>
    <row r="42" spans="1:50" s="264" customFormat="1" ht="14.25" customHeight="1" x14ac:dyDescent="0.3">
      <c r="A42" s="347"/>
      <c r="B42" s="350"/>
      <c r="C42" s="268"/>
      <c r="D42" s="284" t="s">
        <v>126</v>
      </c>
      <c r="E42" s="290">
        <f>'Unit Fungsi'!E42</f>
        <v>6.033037297453697E-5</v>
      </c>
      <c r="F42" s="18" t="s">
        <v>202</v>
      </c>
      <c r="G42" s="293"/>
      <c r="H42" s="293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82" t="s">
        <v>276</v>
      </c>
      <c r="AF42" s="291">
        <f>'Unit Fungsi'!V42</f>
        <v>1.4464339842557471E-6</v>
      </c>
      <c r="AG42" s="279" t="s">
        <v>202</v>
      </c>
      <c r="AH42" s="298">
        <v>4.2500000000000003E-3</v>
      </c>
      <c r="AI42" s="299">
        <f t="shared" si="15"/>
        <v>6.1473444330869252E-9</v>
      </c>
      <c r="AJ42" s="269"/>
      <c r="AK42" s="269"/>
      <c r="AL42" s="269"/>
      <c r="AM42" s="269"/>
      <c r="AN42" s="269"/>
      <c r="AO42" s="269"/>
      <c r="AP42" s="269"/>
      <c r="AQ42" s="269"/>
      <c r="AR42" s="288"/>
      <c r="AS42" s="288"/>
      <c r="AT42" s="288"/>
      <c r="AU42" s="288"/>
      <c r="AV42" s="288"/>
      <c r="AW42" s="288"/>
      <c r="AX42" s="287"/>
    </row>
    <row r="43" spans="1:50" s="264" customFormat="1" ht="14.25" customHeight="1" x14ac:dyDescent="0.3">
      <c r="A43" s="347"/>
      <c r="B43" s="350"/>
      <c r="C43" s="268"/>
      <c r="D43" s="284" t="s">
        <v>127</v>
      </c>
      <c r="E43" s="290">
        <f>'Unit Fungsi'!E43</f>
        <v>1.9306503372293342E-5</v>
      </c>
      <c r="F43" s="18" t="s">
        <v>202</v>
      </c>
      <c r="G43" s="293"/>
      <c r="H43" s="293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82" t="s">
        <v>277</v>
      </c>
      <c r="AF43" s="291">
        <f>'Unit Fungsi'!V43</f>
        <v>5.6919884053949109E-8</v>
      </c>
      <c r="AG43" s="279" t="s">
        <v>202</v>
      </c>
      <c r="AH43" s="298">
        <v>0</v>
      </c>
      <c r="AI43" s="299">
        <f t="shared" si="15"/>
        <v>0</v>
      </c>
      <c r="AJ43" s="269"/>
      <c r="AK43" s="269"/>
      <c r="AL43" s="269"/>
      <c r="AM43" s="269"/>
      <c r="AN43" s="269"/>
      <c r="AO43" s="269"/>
      <c r="AP43" s="269"/>
      <c r="AQ43" s="269"/>
      <c r="AR43" s="288"/>
      <c r="AS43" s="288"/>
      <c r="AT43" s="288"/>
      <c r="AU43" s="288"/>
      <c r="AV43" s="288"/>
      <c r="AW43" s="288"/>
      <c r="AX43" s="287"/>
    </row>
    <row r="44" spans="1:50" s="264" customFormat="1" ht="14.25" customHeight="1" x14ac:dyDescent="0.3">
      <c r="A44" s="347"/>
      <c r="B44" s="350"/>
      <c r="C44" s="268"/>
      <c r="D44" s="284" t="s">
        <v>128</v>
      </c>
      <c r="E44" s="290">
        <f>'Unit Fungsi'!E44</f>
        <v>3.6902147023324741E-3</v>
      </c>
      <c r="F44" s="18" t="s">
        <v>202</v>
      </c>
      <c r="G44" s="293"/>
      <c r="H44" s="293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82" t="s">
        <v>278</v>
      </c>
      <c r="AF44" s="291">
        <f>'Unit Fungsi'!V44</f>
        <v>6.0330372974536973E-8</v>
      </c>
      <c r="AG44" s="279" t="s">
        <v>202</v>
      </c>
      <c r="AH44" s="298">
        <v>7.9200000000000004E-6</v>
      </c>
      <c r="AI44" s="299">
        <f t="shared" si="15"/>
        <v>4.7781655395833288E-13</v>
      </c>
      <c r="AJ44" s="269"/>
      <c r="AK44" s="269"/>
      <c r="AL44" s="269"/>
      <c r="AM44" s="269"/>
      <c r="AN44" s="269"/>
      <c r="AO44" s="269"/>
      <c r="AP44" s="269"/>
      <c r="AQ44" s="269"/>
      <c r="AR44" s="288"/>
      <c r="AS44" s="288"/>
      <c r="AT44" s="288"/>
      <c r="AU44" s="288"/>
      <c r="AV44" s="288"/>
      <c r="AW44" s="288"/>
      <c r="AX44" s="287"/>
    </row>
    <row r="45" spans="1:50" s="264" customFormat="1" ht="14.25" customHeight="1" x14ac:dyDescent="0.3">
      <c r="A45" s="347"/>
      <c r="B45" s="350"/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82" t="s">
        <v>279</v>
      </c>
      <c r="AF45" s="291">
        <f>'Unit Fungsi'!V45</f>
        <v>1.9306503372293343E-8</v>
      </c>
      <c r="AG45" s="279" t="s">
        <v>202</v>
      </c>
      <c r="AH45" s="298">
        <v>4.0600000000000002E-3</v>
      </c>
      <c r="AI45" s="299">
        <f t="shared" si="15"/>
        <v>7.8384403691510979E-11</v>
      </c>
      <c r="AJ45" s="269"/>
      <c r="AK45" s="269"/>
      <c r="AL45" s="269"/>
      <c r="AM45" s="269"/>
      <c r="AN45" s="269"/>
      <c r="AO45" s="269"/>
      <c r="AP45" s="269"/>
      <c r="AQ45" s="269"/>
      <c r="AR45" s="288"/>
      <c r="AS45" s="288"/>
      <c r="AT45" s="288"/>
      <c r="AU45" s="288"/>
      <c r="AV45" s="288"/>
      <c r="AW45" s="288"/>
      <c r="AX45" s="287"/>
    </row>
    <row r="46" spans="1:50" s="264" customFormat="1" ht="14.25" customHeight="1" x14ac:dyDescent="0.3">
      <c r="A46" s="347"/>
      <c r="B46" s="350"/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82" t="s">
        <v>280</v>
      </c>
      <c r="AF46" s="291">
        <f>'Unit Fungsi'!V46</f>
        <v>3.690214702332474E-6</v>
      </c>
      <c r="AG46" s="279" t="s">
        <v>202</v>
      </c>
      <c r="AH46" s="298">
        <v>7.6799999999999993E-2</v>
      </c>
      <c r="AI46" s="299">
        <f t="shared" si="15"/>
        <v>2.83408489139134E-7</v>
      </c>
      <c r="AJ46" s="269"/>
      <c r="AK46" s="269"/>
      <c r="AL46" s="269"/>
      <c r="AM46" s="269"/>
      <c r="AN46" s="269"/>
      <c r="AO46" s="269"/>
      <c r="AP46" s="269"/>
      <c r="AQ46" s="269"/>
      <c r="AR46" s="288"/>
      <c r="AS46" s="288"/>
      <c r="AT46" s="288"/>
      <c r="AU46" s="288"/>
      <c r="AV46" s="288"/>
      <c r="AW46" s="288"/>
      <c r="AX46" s="287"/>
    </row>
    <row r="47" spans="1:50" s="264" customFormat="1" ht="14.25" customHeight="1" x14ac:dyDescent="0.3">
      <c r="A47" s="347"/>
      <c r="B47" s="350"/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82" t="s">
        <v>281</v>
      </c>
      <c r="AF47" s="291">
        <f>'Unit Fungsi'!V47</f>
        <v>3.1188732785514542E-7</v>
      </c>
      <c r="AG47" s="279" t="s">
        <v>202</v>
      </c>
      <c r="AH47" s="298">
        <v>2.0900000000000001E-4</v>
      </c>
      <c r="AI47" s="299">
        <f t="shared" si="15"/>
        <v>6.5184451521725397E-11</v>
      </c>
      <c r="AJ47" s="269"/>
      <c r="AK47" s="269"/>
      <c r="AL47" s="269"/>
      <c r="AM47" s="269"/>
      <c r="AN47" s="269"/>
      <c r="AO47" s="269"/>
      <c r="AP47" s="269"/>
      <c r="AQ47" s="269"/>
      <c r="AR47" s="288"/>
      <c r="AS47" s="288"/>
      <c r="AT47" s="288"/>
      <c r="AU47" s="288"/>
      <c r="AV47" s="288"/>
      <c r="AW47" s="288"/>
      <c r="AX47" s="287"/>
    </row>
    <row r="48" spans="1:50" s="264" customFormat="1" ht="14.25" customHeight="1" x14ac:dyDescent="0.3">
      <c r="A48" s="347"/>
      <c r="B48" s="350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82" t="s">
        <v>282</v>
      </c>
      <c r="AF48" s="291">
        <f>'Unit Fungsi'!V48</f>
        <v>9.2318406988326563E-9</v>
      </c>
      <c r="AG48" s="279" t="s">
        <v>202</v>
      </c>
      <c r="AH48" s="298">
        <v>1.8000000000000001E-4</v>
      </c>
      <c r="AI48" s="299">
        <f t="shared" si="15"/>
        <v>1.6617313257898783E-12</v>
      </c>
      <c r="AJ48" s="269"/>
      <c r="AK48" s="269"/>
      <c r="AL48" s="269"/>
      <c r="AM48" s="269"/>
      <c r="AN48" s="269"/>
      <c r="AO48" s="269"/>
      <c r="AP48" s="269"/>
      <c r="AQ48" s="269"/>
      <c r="AR48" s="288"/>
      <c r="AS48" s="288"/>
      <c r="AT48" s="288"/>
      <c r="AU48" s="288"/>
      <c r="AV48" s="288"/>
      <c r="AW48" s="288"/>
      <c r="AX48" s="287"/>
    </row>
    <row r="49" spans="1:50" s="264" customFormat="1" ht="14.25" customHeight="1" x14ac:dyDescent="0.3">
      <c r="A49" s="348"/>
      <c r="B49" s="351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88"/>
      <c r="AS49" s="288"/>
      <c r="AT49" s="288"/>
      <c r="AU49" s="288"/>
      <c r="AV49" s="288"/>
      <c r="AW49" s="288"/>
      <c r="AX49" s="287"/>
    </row>
    <row r="50" spans="1:50" ht="14.25" customHeight="1" x14ac:dyDescent="0.3"/>
    <row r="51" spans="1:50" ht="14.25" customHeight="1" x14ac:dyDescent="0.35">
      <c r="B51" s="62" t="s">
        <v>96</v>
      </c>
      <c r="D51" s="63" t="s">
        <v>87</v>
      </c>
      <c r="E51" s="64">
        <f>SUM(H4,M4,AA4:AA6)</f>
        <v>6.7433684143518064E-4</v>
      </c>
      <c r="G51" s="381" t="s">
        <v>210</v>
      </c>
      <c r="H51" s="381"/>
      <c r="I51" s="381"/>
      <c r="J51" s="33"/>
    </row>
    <row r="52" spans="1:50" ht="14.25" customHeight="1" x14ac:dyDescent="0.35">
      <c r="B52" s="65">
        <f>SUM(H4,H8,H12,H18,H22,H26,H30,H39,M39,M40,AA39,AA40,AI40,AI41,AI42,AI43,AI44,AI45,AI46,AI47,AI48,AN39,M4,M8,M12,M18,M22,M26,M30,R12:R16,AA4:AA6,AA8:AA10,AA12:AA14,AA18:AA20,AA22:AA24,AA26:AA28,AA30:AA32)</f>
        <v>0.24669677202840634</v>
      </c>
      <c r="D52" s="63" t="s">
        <v>88</v>
      </c>
      <c r="E52" s="64">
        <f>SUM(H8,M8,AA8:AA10)</f>
        <v>4.8329030922771394E-3</v>
      </c>
      <c r="G52" s="195" t="s">
        <v>86</v>
      </c>
      <c r="H52" s="195" t="s">
        <v>211</v>
      </c>
      <c r="I52" s="195" t="s">
        <v>212</v>
      </c>
      <c r="J52" s="33"/>
    </row>
    <row r="53" spans="1:50" ht="14.25" customHeight="1" x14ac:dyDescent="0.35">
      <c r="B53" s="62" t="s">
        <v>97</v>
      </c>
      <c r="D53" s="63" t="s">
        <v>89</v>
      </c>
      <c r="E53" s="64">
        <f>SUM(H12,M12,R12:R16,AA12:AA14)</f>
        <v>1.1617799841248608E-3</v>
      </c>
      <c r="G53" s="198">
        <f>H4</f>
        <v>2.0052814728892618E-8</v>
      </c>
      <c r="H53" s="203">
        <f>(G53/$G$90)*100%</f>
        <v>1.3838716024699664E-7</v>
      </c>
      <c r="I53" s="199"/>
      <c r="J53" s="33"/>
    </row>
    <row r="54" spans="1:50" ht="14.25" customHeight="1" x14ac:dyDescent="0.35">
      <c r="D54" s="63" t="s">
        <v>90</v>
      </c>
      <c r="E54" s="64">
        <f>SUM(H18,M18,AA18:AA20)</f>
        <v>0.11920647298401824</v>
      </c>
      <c r="G54" s="198">
        <f>H8</f>
        <v>5.8571486609592192E-5</v>
      </c>
      <c r="H54" s="203">
        <f t="shared" ref="H54:H89" si="16">(G54/$G$90)*100%</f>
        <v>4.0420967395005038E-4</v>
      </c>
      <c r="I54" s="199"/>
    </row>
    <row r="55" spans="1:50" ht="14.25" customHeight="1" x14ac:dyDescent="0.35">
      <c r="D55" s="63" t="s">
        <v>52</v>
      </c>
      <c r="E55" s="64">
        <f>SUM(H22,M22,AA22:AA24)</f>
        <v>2.4120338504944397E-3</v>
      </c>
      <c r="G55" s="199">
        <f>H12</f>
        <v>0</v>
      </c>
      <c r="H55" s="203">
        <f t="shared" si="16"/>
        <v>0</v>
      </c>
      <c r="I55" s="199"/>
    </row>
    <row r="56" spans="1:50" ht="14.25" customHeight="1" x14ac:dyDescent="0.35">
      <c r="D56" s="63" t="s">
        <v>56</v>
      </c>
      <c r="E56" s="64">
        <f>SUM(H26,M26,AA26:AA28)</f>
        <v>5.146783178091573E-3</v>
      </c>
      <c r="G56" s="199">
        <f>H18</f>
        <v>0</v>
      </c>
      <c r="H56" s="203">
        <f t="shared" si="16"/>
        <v>0</v>
      </c>
      <c r="I56" s="199"/>
    </row>
    <row r="57" spans="1:50" ht="14.25" customHeight="1" x14ac:dyDescent="0.35">
      <c r="D57" s="63" t="s">
        <v>91</v>
      </c>
      <c r="E57" s="64">
        <f>SUM(H30,M30,AA30:AA32)</f>
        <v>1.2669413024071707E-2</v>
      </c>
      <c r="G57" s="198">
        <f>M4</f>
        <v>2.6795247268632391E-4</v>
      </c>
      <c r="H57" s="203">
        <f t="shared" si="16"/>
        <v>1.849175902612503E-3</v>
      </c>
      <c r="I57" s="199"/>
    </row>
    <row r="58" spans="1:50" ht="14.25" customHeight="1" x14ac:dyDescent="0.35">
      <c r="D58" s="74" t="s">
        <v>272</v>
      </c>
      <c r="E58" s="303">
        <f>SUM(H39,M39,M40,AA39,AA40,AI40,AI41,AI42,AI43,AI44,AI45,AI46,AI47,AI48,AN39)</f>
        <v>0.10059304907389328</v>
      </c>
      <c r="G58" s="198">
        <f>M8</f>
        <v>1.8971705595234025E-3</v>
      </c>
      <c r="H58" s="203">
        <f t="shared" si="16"/>
        <v>1.3092628131569434E-2</v>
      </c>
      <c r="I58" s="199"/>
    </row>
    <row r="59" spans="1:50" ht="14.25" customHeight="1" x14ac:dyDescent="0.3">
      <c r="D59" s="302"/>
      <c r="E59" s="303">
        <f>SUM(E51:E58)</f>
        <v>0.24669677202840645</v>
      </c>
      <c r="G59" s="198">
        <f>M12</f>
        <v>4.6165515187692439E-4</v>
      </c>
      <c r="H59" s="203">
        <f t="shared" si="16"/>
        <v>3.1859440355569259E-3</v>
      </c>
      <c r="I59" s="199"/>
    </row>
    <row r="60" spans="1:50" ht="14.25" customHeight="1" x14ac:dyDescent="0.35">
      <c r="G60" s="205">
        <f>M18</f>
        <v>4.7368936581915586E-2</v>
      </c>
      <c r="H60" s="206">
        <f t="shared" si="16"/>
        <v>0.3268993757792214</v>
      </c>
      <c r="I60" s="207" t="s">
        <v>246</v>
      </c>
      <c r="W60" s="66"/>
      <c r="X60" s="67"/>
      <c r="Y60" s="68"/>
      <c r="Z60" s="68"/>
      <c r="AA60" s="68"/>
      <c r="AB60" s="380"/>
      <c r="AC60" s="367"/>
      <c r="AD60" s="367"/>
    </row>
    <row r="61" spans="1:50" ht="14.25" customHeight="1" x14ac:dyDescent="0.3">
      <c r="G61" s="198">
        <f>M22</f>
        <v>7.9951953513058183E-4</v>
      </c>
      <c r="H61" s="203">
        <f t="shared" si="16"/>
        <v>5.5175913967480308E-3</v>
      </c>
      <c r="I61" s="199"/>
    </row>
    <row r="62" spans="1:50" ht="14.25" customHeight="1" x14ac:dyDescent="0.3">
      <c r="G62" s="198">
        <f>M26</f>
        <v>1.8862236731160447E-3</v>
      </c>
      <c r="H62" s="203">
        <f t="shared" si="16"/>
        <v>1.3017082202285105E-2</v>
      </c>
      <c r="I62" s="199"/>
    </row>
    <row r="63" spans="1:50" ht="14.25" customHeight="1" x14ac:dyDescent="0.3">
      <c r="G63" s="198">
        <f>M30</f>
        <v>4.8754822862052188E-3</v>
      </c>
      <c r="H63" s="203">
        <f t="shared" si="16"/>
        <v>3.3646356261913889E-2</v>
      </c>
      <c r="I63" s="199"/>
    </row>
    <row r="64" spans="1:50" ht="14.25" customHeight="1" x14ac:dyDescent="0.3">
      <c r="G64" s="199">
        <f>R12</f>
        <v>0</v>
      </c>
      <c r="H64" s="203">
        <f t="shared" si="16"/>
        <v>0</v>
      </c>
      <c r="I64" s="199"/>
    </row>
    <row r="65" spans="7:9" ht="14.25" customHeight="1" x14ac:dyDescent="0.3">
      <c r="G65" s="199">
        <f t="shared" ref="G65:G68" si="17">R13</f>
        <v>0</v>
      </c>
      <c r="H65" s="203">
        <f t="shared" si="16"/>
        <v>0</v>
      </c>
      <c r="I65" s="199"/>
    </row>
    <row r="66" spans="7:9" ht="14.25" customHeight="1" x14ac:dyDescent="0.3">
      <c r="G66" s="199">
        <f t="shared" si="17"/>
        <v>0</v>
      </c>
      <c r="H66" s="203">
        <f t="shared" si="16"/>
        <v>0</v>
      </c>
      <c r="I66" s="199"/>
    </row>
    <row r="67" spans="7:9" ht="14.25" customHeight="1" x14ac:dyDescent="0.3">
      <c r="G67" s="199">
        <f t="shared" si="17"/>
        <v>0</v>
      </c>
      <c r="H67" s="203">
        <f t="shared" si="16"/>
        <v>0</v>
      </c>
      <c r="I67" s="199"/>
    </row>
    <row r="68" spans="7:9" ht="14.25" customHeight="1" x14ac:dyDescent="0.3">
      <c r="G68" s="199">
        <f t="shared" si="17"/>
        <v>0</v>
      </c>
      <c r="H68" s="203">
        <f t="shared" si="16"/>
        <v>0</v>
      </c>
      <c r="I68" s="199"/>
    </row>
    <row r="69" spans="7:9" ht="14.25" customHeight="1" x14ac:dyDescent="0.3">
      <c r="G69" s="198">
        <f>AA4</f>
        <v>9.7924988324922336E-6</v>
      </c>
      <c r="H69" s="203">
        <f t="shared" si="16"/>
        <v>6.7579346015603795E-5</v>
      </c>
      <c r="I69" s="199"/>
    </row>
    <row r="70" spans="7:9" ht="14.25" customHeight="1" x14ac:dyDescent="0.3">
      <c r="G70" s="198">
        <f t="shared" ref="G70:G71" si="18">AA5</f>
        <v>3.5391513271956445E-5</v>
      </c>
      <c r="H70" s="203">
        <f t="shared" si="16"/>
        <v>2.4424157330358052E-4</v>
      </c>
      <c r="I70" s="199"/>
    </row>
    <row r="71" spans="7:9" ht="14.25" customHeight="1" x14ac:dyDescent="0.3">
      <c r="G71" s="198">
        <f t="shared" si="18"/>
        <v>3.611803038296792E-4</v>
      </c>
      <c r="H71" s="203">
        <f t="shared" si="16"/>
        <v>2.4925536519379674E-3</v>
      </c>
      <c r="I71" s="199"/>
    </row>
    <row r="72" spans="7:9" ht="14.25" customHeight="1" x14ac:dyDescent="0.3">
      <c r="G72" s="198">
        <f>AA8</f>
        <v>6.9333342226402106E-5</v>
      </c>
      <c r="H72" s="203">
        <f t="shared" si="16"/>
        <v>4.7847868096644139E-4</v>
      </c>
      <c r="I72" s="199"/>
    </row>
    <row r="73" spans="7:9" ht="14.25" customHeight="1" x14ac:dyDescent="0.3">
      <c r="G73" s="198">
        <f>AA9</f>
        <v>2.505807704007969E-4</v>
      </c>
      <c r="H73" s="203">
        <f t="shared" si="16"/>
        <v>1.7292914584358672E-3</v>
      </c>
      <c r="I73" s="199"/>
    </row>
    <row r="74" spans="7:9" ht="14.25" customHeight="1" x14ac:dyDescent="0.3">
      <c r="G74" s="198">
        <f>AA10</f>
        <v>2.5572469335169456E-3</v>
      </c>
      <c r="H74" s="203">
        <f t="shared" si="16"/>
        <v>1.7647903596788146E-2</v>
      </c>
      <c r="I74" s="199"/>
    </row>
    <row r="75" spans="7:9" ht="14.25" customHeight="1" x14ac:dyDescent="0.3">
      <c r="G75" s="198">
        <f>AA12</f>
        <v>1.6871490270071104E-5</v>
      </c>
      <c r="H75" s="203">
        <f t="shared" si="16"/>
        <v>1.1643241406135057E-4</v>
      </c>
      <c r="I75" s="199"/>
    </row>
    <row r="76" spans="7:9" ht="14.25" customHeight="1" x14ac:dyDescent="0.3">
      <c r="G76" s="198">
        <f>AA13</f>
        <v>6.0976016645481584E-5</v>
      </c>
      <c r="H76" s="203">
        <f t="shared" si="16"/>
        <v>4.2080365778195095E-4</v>
      </c>
      <c r="I76" s="199"/>
    </row>
    <row r="77" spans="7:9" ht="14.25" customHeight="1" x14ac:dyDescent="0.3">
      <c r="G77" s="198">
        <f>AA14</f>
        <v>6.2227732533238372E-4</v>
      </c>
      <c r="H77" s="203">
        <f t="shared" si="16"/>
        <v>4.2944191677374869E-3</v>
      </c>
      <c r="I77" s="199"/>
    </row>
    <row r="78" spans="7:9" ht="14.25" customHeight="1" x14ac:dyDescent="0.3">
      <c r="G78" s="198">
        <f>AA18</f>
        <v>1.7311288510400153E-3</v>
      </c>
      <c r="H78" s="203">
        <f t="shared" si="16"/>
        <v>1.1946752062287838E-2</v>
      </c>
      <c r="I78" s="199"/>
    </row>
    <row r="79" spans="7:9" ht="14.25" customHeight="1" x14ac:dyDescent="0.3">
      <c r="G79" s="198">
        <f>AA19</f>
        <v>6.256551137260296E-3</v>
      </c>
      <c r="H79" s="203">
        <f t="shared" si="16"/>
        <v>4.3177297378510386E-2</v>
      </c>
      <c r="I79" s="199"/>
    </row>
    <row r="80" spans="7:9" ht="14.25" customHeight="1" x14ac:dyDescent="0.3">
      <c r="G80" s="205">
        <f>AA20</f>
        <v>6.3849856413802336E-2</v>
      </c>
      <c r="H80" s="206">
        <f t="shared" si="16"/>
        <v>0.44063641093504202</v>
      </c>
      <c r="I80" s="207" t="s">
        <v>245</v>
      </c>
    </row>
    <row r="81" spans="7:9" ht="14.25" customHeight="1" x14ac:dyDescent="0.3">
      <c r="G81" s="198">
        <f>AA22</f>
        <v>2.9218965721156997E-5</v>
      </c>
      <c r="H81" s="203">
        <f t="shared" si="16"/>
        <v>2.0164399592637898E-4</v>
      </c>
      <c r="I81" s="199"/>
    </row>
    <row r="82" spans="7:9" ht="14.25" customHeight="1" x14ac:dyDescent="0.3">
      <c r="G82" s="198">
        <f>AA23</f>
        <v>1.0560158656153592E-4</v>
      </c>
      <c r="H82" s="203">
        <f t="shared" si="16"/>
        <v>7.2877069276325909E-4</v>
      </c>
      <c r="I82" s="199"/>
    </row>
    <row r="83" spans="7:9" ht="14.25" customHeight="1" x14ac:dyDescent="0.3">
      <c r="G83" s="198">
        <f>AA24</f>
        <v>1.0776937630811647E-3</v>
      </c>
      <c r="H83" s="203">
        <f t="shared" si="16"/>
        <v>7.4373090015048436E-3</v>
      </c>
      <c r="I83" s="199"/>
    </row>
    <row r="84" spans="7:9" ht="14.25" customHeight="1" x14ac:dyDescent="0.3">
      <c r="G84" s="198">
        <f>AA26</f>
        <v>6.8933281083883869E-5</v>
      </c>
      <c r="H84" s="203">
        <f t="shared" si="16"/>
        <v>4.7571780543915202E-4</v>
      </c>
      <c r="I84" s="199"/>
    </row>
    <row r="85" spans="7:9" ht="14.25" customHeight="1" x14ac:dyDescent="0.3">
      <c r="G85" s="198">
        <f>AA27</f>
        <v>2.4913489131750833E-4</v>
      </c>
      <c r="H85" s="203">
        <f t="shared" si="16"/>
        <v>1.7193132532261747E-3</v>
      </c>
      <c r="I85" s="199"/>
    </row>
    <row r="86" spans="7:9" ht="14.25" customHeight="1" x14ac:dyDescent="0.3">
      <c r="G86" s="198">
        <f>AA28</f>
        <v>2.5424913325741358E-3</v>
      </c>
      <c r="H86" s="203">
        <f t="shared" si="16"/>
        <v>1.754607321836894E-2</v>
      </c>
      <c r="I86" s="199"/>
    </row>
    <row r="87" spans="7:9" ht="14.25" customHeight="1" x14ac:dyDescent="0.3">
      <c r="G87" s="198">
        <f>AA30</f>
        <v>1.781776973985654E-4</v>
      </c>
      <c r="H87" s="203">
        <f t="shared" si="16"/>
        <v>1.2296281542365708E-3</v>
      </c>
      <c r="I87" s="199"/>
    </row>
    <row r="88" spans="7:9" ht="14.25" customHeight="1" x14ac:dyDescent="0.3">
      <c r="G88" s="198">
        <f>AA31</f>
        <v>6.4396008109025881E-4</v>
      </c>
      <c r="H88" s="203">
        <f t="shared" si="16"/>
        <v>4.4440547693340143E-3</v>
      </c>
      <c r="I88" s="199"/>
    </row>
    <row r="89" spans="7:9" ht="14.25" customHeight="1" x14ac:dyDescent="0.3">
      <c r="G89" s="205">
        <f>AA32</f>
        <v>6.5717929593776649E-3</v>
      </c>
      <c r="H89" s="206">
        <f t="shared" si="16"/>
        <v>4.5352823415314332E-2</v>
      </c>
      <c r="I89" s="207" t="s">
        <v>247</v>
      </c>
    </row>
    <row r="90" spans="7:9" ht="14.25" customHeight="1" x14ac:dyDescent="0.3">
      <c r="G90" s="208">
        <f>SUM(G53:G89)</f>
        <v>0.14490372295451315</v>
      </c>
      <c r="H90" s="204">
        <f>SUM(H53:H89)</f>
        <v>0.99999999999999978</v>
      </c>
      <c r="I90" s="186"/>
    </row>
    <row r="91" spans="7:9" ht="14.25" customHeight="1" x14ac:dyDescent="0.3"/>
    <row r="92" spans="7:9" ht="14.25" customHeight="1" x14ac:dyDescent="0.3"/>
    <row r="93" spans="7:9" ht="14.25" customHeight="1" x14ac:dyDescent="0.3"/>
    <row r="94" spans="7:9" ht="14.25" customHeight="1" x14ac:dyDescent="0.3"/>
    <row r="95" spans="7:9" ht="14.25" customHeight="1" x14ac:dyDescent="0.3"/>
    <row r="96" spans="7:9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</sheetData>
  <mergeCells count="63">
    <mergeCell ref="A39:A49"/>
    <mergeCell ref="B39:B49"/>
    <mergeCell ref="D1:V1"/>
    <mergeCell ref="AH2:AH3"/>
    <mergeCell ref="AI2:AI3"/>
    <mergeCell ref="AG2:AG3"/>
    <mergeCell ref="E2:E3"/>
    <mergeCell ref="F2:F3"/>
    <mergeCell ref="A4:A7"/>
    <mergeCell ref="B4:B7"/>
    <mergeCell ref="A30:A38"/>
    <mergeCell ref="B30:B38"/>
    <mergeCell ref="A12:A17"/>
    <mergeCell ref="A18:A21"/>
    <mergeCell ref="B18:B21"/>
    <mergeCell ref="A22:A25"/>
    <mergeCell ref="AP2:AP3"/>
    <mergeCell ref="AQ2:AQ3"/>
    <mergeCell ref="A1:A3"/>
    <mergeCell ref="B1:B3"/>
    <mergeCell ref="C1:C3"/>
    <mergeCell ref="W1:AQ1"/>
    <mergeCell ref="K2:K3"/>
    <mergeCell ref="L2:L3"/>
    <mergeCell ref="M2:M3"/>
    <mergeCell ref="N2:N3"/>
    <mergeCell ref="O2:O3"/>
    <mergeCell ref="P2:P3"/>
    <mergeCell ref="Q2:Q3"/>
    <mergeCell ref="AF2:AF3"/>
    <mergeCell ref="AR1:AR3"/>
    <mergeCell ref="D2:D3"/>
    <mergeCell ref="X2:X3"/>
    <mergeCell ref="Y2:Y3"/>
    <mergeCell ref="Z2:Z3"/>
    <mergeCell ref="AA2:AA3"/>
    <mergeCell ref="AB2:AB3"/>
    <mergeCell ref="AC2:AC3"/>
    <mergeCell ref="AJ2:AJ3"/>
    <mergeCell ref="AK2:AK3"/>
    <mergeCell ref="AL2:AL3"/>
    <mergeCell ref="AO2:AO3"/>
    <mergeCell ref="G2:G3"/>
    <mergeCell ref="H2:H3"/>
    <mergeCell ref="AM2:AM3"/>
    <mergeCell ref="AN2:AN3"/>
    <mergeCell ref="AB60:AD60"/>
    <mergeCell ref="AD2:AD3"/>
    <mergeCell ref="AE2:AE3"/>
    <mergeCell ref="I2:I3"/>
    <mergeCell ref="J2:J3"/>
    <mergeCell ref="S2:T2"/>
    <mergeCell ref="W2:W3"/>
    <mergeCell ref="G51:I51"/>
    <mergeCell ref="R2:R3"/>
    <mergeCell ref="U2:U3"/>
    <mergeCell ref="V2:V3"/>
    <mergeCell ref="B22:B25"/>
    <mergeCell ref="A26:A29"/>
    <mergeCell ref="B26:B29"/>
    <mergeCell ref="A8:A11"/>
    <mergeCell ref="B8:B11"/>
    <mergeCell ref="B12:B1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Metode Pengambilan Data</vt:lpstr>
      <vt:lpstr>Uji Sensitivitas</vt:lpstr>
      <vt:lpstr>Kualitas Data</vt:lpstr>
      <vt:lpstr>Pareto Rules</vt:lpstr>
      <vt:lpstr>Inventori</vt:lpstr>
      <vt:lpstr>Unit Fungsi</vt:lpstr>
      <vt:lpstr>GWP</vt:lpstr>
      <vt:lpstr>ODP</vt:lpstr>
      <vt:lpstr>AP</vt:lpstr>
      <vt:lpstr>EP</vt:lpstr>
      <vt:lpstr>Utilitas</vt:lpstr>
      <vt:lpstr>UT Unit Fungsi</vt:lpstr>
      <vt:lpstr>UT GWP</vt:lpstr>
      <vt:lpstr>UT ODP</vt:lpstr>
      <vt:lpstr>UT EP</vt:lpstr>
      <vt:lpstr>UT AP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Putri Alifa Kholil</dc:creator>
  <cp:lastModifiedBy>Lenovo</cp:lastModifiedBy>
  <dcterms:created xsi:type="dcterms:W3CDTF">2021-08-15T04:00:02Z</dcterms:created>
  <dcterms:modified xsi:type="dcterms:W3CDTF">2022-04-01T03:49:24Z</dcterms:modified>
</cp:coreProperties>
</file>