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S2\"/>
    </mc:Choice>
  </mc:AlternateContent>
  <xr:revisionPtr revIDLastSave="0" documentId="13_ncr:1_{9FAEB36C-B780-4A5D-A02C-59BE6E8D9EAC}" xr6:coauthVersionLast="45" xr6:coauthVersionMax="47" xr10:uidLastSave="{00000000-0000-0000-0000-000000000000}"/>
  <bookViews>
    <workbookView xWindow="-110" yWindow="-110" windowWidth="19420" windowHeight="10560" tabRatio="841" firstSheet="3" activeTab="5" xr2:uid="{00000000-000D-0000-FFFF-FFFF00000000}"/>
  </bookViews>
  <sheets>
    <sheet name="Metode Pengambilan Data" sheetId="29" r:id="rId1"/>
    <sheet name="Uji Sensitivitas" sheetId="28" r:id="rId2"/>
    <sheet name="Kualitas Data" sheetId="25" r:id="rId3"/>
    <sheet name="Pareto Rules" sheetId="24" r:id="rId4"/>
    <sheet name="Inventori" sheetId="2" r:id="rId5"/>
    <sheet name="Unit Fungsi" sheetId="3" r:id="rId6"/>
    <sheet name="GWP" sheetId="6" r:id="rId7"/>
    <sheet name="ODP" sheetId="7" r:id="rId8"/>
    <sheet name="AP" sheetId="9" r:id="rId9"/>
    <sheet name="EP" sheetId="10" r:id="rId10"/>
    <sheet name="Utilitas" sheetId="13" r:id="rId11"/>
    <sheet name="UT Unit Fungsi" sheetId="14" r:id="rId12"/>
    <sheet name="UT GWP" sheetId="17" r:id="rId13"/>
    <sheet name="UT ODP" sheetId="18" r:id="rId14"/>
    <sheet name="UT EP" sheetId="21" r:id="rId15"/>
    <sheet name="UT AP" sheetId="20" r:id="rId16"/>
    <sheet name="CF" sheetId="23" r:id="rId1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33" roundtripDataSignature="AMtx7mi4JX6JHHjFbiN0pvegxoir9fnQmA=="/>
    </ext>
  </extLst>
</workbook>
</file>

<file path=xl/calcChain.xml><?xml version="1.0" encoding="utf-8"?>
<calcChain xmlns="http://schemas.openxmlformats.org/spreadsheetml/2006/main">
  <c r="E33" i="21" l="1"/>
  <c r="E31" i="21"/>
  <c r="E30" i="21"/>
  <c r="E32" i="21"/>
  <c r="E34" i="20"/>
  <c r="E58" i="10"/>
  <c r="E57" i="10"/>
  <c r="E56" i="10"/>
  <c r="E55" i="10"/>
  <c r="E54" i="10"/>
  <c r="E53" i="10"/>
  <c r="E52" i="10"/>
  <c r="E51" i="10"/>
  <c r="E59" i="10" s="1"/>
  <c r="E58" i="9"/>
  <c r="E57" i="9"/>
  <c r="E56" i="9"/>
  <c r="E55" i="9"/>
  <c r="E54" i="9"/>
  <c r="E53" i="9"/>
  <c r="E52" i="9"/>
  <c r="E51" i="9"/>
  <c r="E59" i="9" s="1"/>
  <c r="E58" i="7"/>
  <c r="E57" i="7"/>
  <c r="E56" i="7"/>
  <c r="E55" i="7"/>
  <c r="E54" i="7"/>
  <c r="E53" i="7"/>
  <c r="E52" i="7"/>
  <c r="E51" i="7"/>
  <c r="E59" i="7" s="1"/>
  <c r="E34" i="18"/>
  <c r="E34" i="17"/>
  <c r="E57" i="6"/>
  <c r="E56" i="6"/>
  <c r="E55" i="6"/>
  <c r="E58" i="6"/>
  <c r="H39" i="6"/>
  <c r="M39" i="6"/>
  <c r="B31" i="17"/>
  <c r="E51" i="6"/>
  <c r="E34" i="21" l="1"/>
  <c r="E59" i="6"/>
  <c r="B52" i="10" l="1"/>
  <c r="B52" i="9"/>
  <c r="B52" i="7"/>
  <c r="B52" i="6"/>
  <c r="AF48" i="10" l="1"/>
  <c r="AI48" i="10" s="1"/>
  <c r="AI47" i="10"/>
  <c r="AF47" i="10"/>
  <c r="AF46" i="10"/>
  <c r="AI46" i="10" s="1"/>
  <c r="AF45" i="10"/>
  <c r="AI45" i="10" s="1"/>
  <c r="AF44" i="10"/>
  <c r="AI44" i="10" s="1"/>
  <c r="E44" i="10"/>
  <c r="AI43" i="10"/>
  <c r="AF43" i="10"/>
  <c r="E43" i="10"/>
  <c r="AF42" i="10"/>
  <c r="AI42" i="10" s="1"/>
  <c r="E42" i="10"/>
  <c r="AF41" i="10"/>
  <c r="AI41" i="10" s="1"/>
  <c r="E41" i="10"/>
  <c r="AF40" i="10"/>
  <c r="AI40" i="10" s="1"/>
  <c r="X40" i="10"/>
  <c r="J40" i="10"/>
  <c r="M40" i="10" s="1"/>
  <c r="E40" i="10"/>
  <c r="AK39" i="10"/>
  <c r="AN39" i="10" s="1"/>
  <c r="AJ39" i="10"/>
  <c r="AC39" i="10"/>
  <c r="X39" i="10"/>
  <c r="S39" i="10"/>
  <c r="J39" i="10"/>
  <c r="E39" i="10"/>
  <c r="H22" i="9"/>
  <c r="H26" i="9"/>
  <c r="AF48" i="9"/>
  <c r="AI48" i="9" s="1"/>
  <c r="AF47" i="9"/>
  <c r="AI47" i="9" s="1"/>
  <c r="AF46" i="9"/>
  <c r="AI46" i="9" s="1"/>
  <c r="AF45" i="9"/>
  <c r="AI45" i="9" s="1"/>
  <c r="AF44" i="9"/>
  <c r="AI44" i="9" s="1"/>
  <c r="E44" i="9"/>
  <c r="AF43" i="9"/>
  <c r="AI43" i="9" s="1"/>
  <c r="E43" i="9"/>
  <c r="AF42" i="9"/>
  <c r="AI42" i="9" s="1"/>
  <c r="E42" i="9"/>
  <c r="AF41" i="9"/>
  <c r="AI41" i="9" s="1"/>
  <c r="E41" i="9"/>
  <c r="AF40" i="9"/>
  <c r="AI40" i="9" s="1"/>
  <c r="X40" i="9"/>
  <c r="J40" i="9"/>
  <c r="M40" i="9" s="1"/>
  <c r="E40" i="9"/>
  <c r="AK39" i="9"/>
  <c r="AN39" i="9" s="1"/>
  <c r="AJ39" i="9"/>
  <c r="AC39" i="9"/>
  <c r="X39" i="9"/>
  <c r="S39" i="9"/>
  <c r="J39" i="9"/>
  <c r="E39" i="9"/>
  <c r="AA40" i="7"/>
  <c r="AA39" i="7"/>
  <c r="Z40" i="7"/>
  <c r="Z39" i="7"/>
  <c r="AF48" i="7"/>
  <c r="AI48" i="7" s="1"/>
  <c r="AF47" i="7"/>
  <c r="AI47" i="7" s="1"/>
  <c r="AF46" i="7"/>
  <c r="AI46" i="7" s="1"/>
  <c r="AF45" i="7"/>
  <c r="AI45" i="7" s="1"/>
  <c r="AF44" i="7"/>
  <c r="AI44" i="7" s="1"/>
  <c r="AF43" i="7"/>
  <c r="AI43" i="7" s="1"/>
  <c r="AF42" i="7"/>
  <c r="AI42" i="7" s="1"/>
  <c r="AF41" i="7"/>
  <c r="AI41" i="7" s="1"/>
  <c r="AF40" i="7"/>
  <c r="AI40" i="7" s="1"/>
  <c r="X40" i="7"/>
  <c r="AN39" i="7"/>
  <c r="AK39" i="7"/>
  <c r="AJ39" i="7"/>
  <c r="AC39" i="7"/>
  <c r="X39" i="7"/>
  <c r="S39" i="7"/>
  <c r="E44" i="7"/>
  <c r="E43" i="7"/>
  <c r="E42" i="7"/>
  <c r="E41" i="7"/>
  <c r="J40" i="7"/>
  <c r="M40" i="7" s="1"/>
  <c r="E40" i="7"/>
  <c r="J39" i="7"/>
  <c r="E39" i="7"/>
  <c r="AN39" i="6"/>
  <c r="AI41" i="6"/>
  <c r="AI42" i="6"/>
  <c r="AI43" i="6"/>
  <c r="AI44" i="6"/>
  <c r="AI45" i="6"/>
  <c r="AI46" i="6"/>
  <c r="AI47" i="6"/>
  <c r="AI48" i="6"/>
  <c r="AI40" i="6"/>
  <c r="AK39" i="6"/>
  <c r="Y39" i="3"/>
  <c r="AF41" i="6"/>
  <c r="AF42" i="6"/>
  <c r="AF43" i="6"/>
  <c r="AF44" i="6"/>
  <c r="AF45" i="6"/>
  <c r="AF46" i="6"/>
  <c r="AF47" i="6"/>
  <c r="AF48" i="6"/>
  <c r="AF40" i="6"/>
  <c r="AC39" i="6"/>
  <c r="X40" i="6"/>
  <c r="X39" i="6"/>
  <c r="S39" i="6"/>
  <c r="J40" i="6"/>
  <c r="M40" i="6" s="1"/>
  <c r="J39" i="6"/>
  <c r="E40" i="6"/>
  <c r="E41" i="6"/>
  <c r="E42" i="6"/>
  <c r="E43" i="6"/>
  <c r="E44" i="6"/>
  <c r="E39" i="6"/>
  <c r="AJ39" i="6"/>
  <c r="V41" i="3"/>
  <c r="V42" i="3"/>
  <c r="V43" i="3"/>
  <c r="V44" i="3"/>
  <c r="V45" i="3"/>
  <c r="V46" i="3"/>
  <c r="V47" i="3"/>
  <c r="V48" i="3"/>
  <c r="V40" i="3"/>
  <c r="P40" i="3"/>
  <c r="P39" i="3"/>
  <c r="E42" i="3"/>
  <c r="E43" i="3"/>
  <c r="E44" i="3"/>
  <c r="E41" i="3"/>
  <c r="M39" i="3"/>
  <c r="H40" i="3"/>
  <c r="H39" i="3"/>
  <c r="E40" i="3"/>
  <c r="E39" i="3"/>
  <c r="S39" i="2" l="1"/>
  <c r="E39" i="2"/>
  <c r="H9" i="25" l="1"/>
  <c r="F9" i="25"/>
  <c r="G9" i="25"/>
  <c r="E9" i="25"/>
  <c r="D9" i="25"/>
  <c r="C9" i="25"/>
  <c r="B9" i="25"/>
  <c r="U22" i="14" l="1"/>
  <c r="D3" i="24" l="1"/>
  <c r="D4" i="24"/>
  <c r="D5" i="24"/>
  <c r="D6" i="24"/>
  <c r="D7" i="24"/>
  <c r="D8" i="24"/>
  <c r="D9" i="24"/>
  <c r="D10" i="24"/>
  <c r="D11" i="24"/>
  <c r="D12" i="24"/>
  <c r="D13" i="24"/>
  <c r="F3" i="24"/>
  <c r="I21" i="28" l="1"/>
  <c r="I19" i="28"/>
  <c r="I17" i="28"/>
  <c r="I15" i="28"/>
  <c r="I13" i="28"/>
  <c r="I11" i="28"/>
  <c r="I9" i="28"/>
  <c r="B3" i="28"/>
  <c r="B4" i="28"/>
  <c r="B2" i="28"/>
  <c r="F11" i="24" l="1"/>
  <c r="F8" i="24"/>
  <c r="F6" i="24"/>
  <c r="X13" i="14"/>
  <c r="X13" i="13"/>
  <c r="D28" i="14" l="1"/>
  <c r="D27" i="14"/>
  <c r="D26" i="14"/>
  <c r="D25" i="14"/>
  <c r="D24" i="14"/>
  <c r="D23" i="14"/>
  <c r="L18" i="14" l="1"/>
  <c r="G18" i="14"/>
  <c r="X16" i="13"/>
  <c r="X16" i="14" s="1"/>
  <c r="X15" i="13"/>
  <c r="X15" i="14" s="1"/>
  <c r="X14" i="13"/>
  <c r="H30" i="3"/>
  <c r="H26" i="3"/>
  <c r="H22" i="3"/>
  <c r="H18" i="3"/>
  <c r="H12" i="3"/>
  <c r="J12" i="7" s="1"/>
  <c r="H8" i="3"/>
  <c r="H4" i="3"/>
  <c r="J34" i="23"/>
  <c r="F34" i="23"/>
  <c r="AI22" i="18" s="1"/>
  <c r="C34" i="23"/>
  <c r="F33" i="23"/>
  <c r="C33" i="23"/>
  <c r="J29" i="23"/>
  <c r="I29" i="23"/>
  <c r="AI24" i="21" s="1"/>
  <c r="H29" i="23"/>
  <c r="F29" i="23"/>
  <c r="C29" i="23"/>
  <c r="F27" i="23"/>
  <c r="C27" i="23"/>
  <c r="J25" i="23"/>
  <c r="I25" i="23"/>
  <c r="G25" i="23"/>
  <c r="F25" i="23"/>
  <c r="C25" i="23"/>
  <c r="F24" i="23"/>
  <c r="AS6" i="18" s="1"/>
  <c r="C24" i="23"/>
  <c r="F23" i="23"/>
  <c r="C23" i="23"/>
  <c r="F22" i="23"/>
  <c r="C22" i="23"/>
  <c r="F21" i="23"/>
  <c r="C21" i="23"/>
  <c r="J20" i="23"/>
  <c r="F20" i="23"/>
  <c r="C20" i="23"/>
  <c r="J19" i="23"/>
  <c r="I19" i="23"/>
  <c r="H19" i="23"/>
  <c r="F19" i="23"/>
  <c r="C19" i="23"/>
  <c r="G18" i="23"/>
  <c r="F18" i="23"/>
  <c r="D18" i="23"/>
  <c r="C18" i="23"/>
  <c r="J17" i="23"/>
  <c r="F17" i="23"/>
  <c r="C17" i="23"/>
  <c r="F16" i="23"/>
  <c r="C16" i="23"/>
  <c r="J15" i="23"/>
  <c r="I15" i="23"/>
  <c r="F15" i="23"/>
  <c r="C15" i="23"/>
  <c r="F14" i="23"/>
  <c r="C14" i="23"/>
  <c r="F13" i="23"/>
  <c r="C13" i="23"/>
  <c r="F12" i="23"/>
  <c r="C12" i="23"/>
  <c r="F11" i="23"/>
  <c r="C11" i="23"/>
  <c r="J10" i="23"/>
  <c r="I10" i="23"/>
  <c r="H10" i="23"/>
  <c r="F10" i="23"/>
  <c r="T18" i="18" s="1"/>
  <c r="C10" i="23"/>
  <c r="F9" i="23"/>
  <c r="F8" i="23"/>
  <c r="C8" i="23"/>
  <c r="C7" i="23"/>
  <c r="J6" i="23"/>
  <c r="I6" i="23"/>
  <c r="F6" i="23"/>
  <c r="J4" i="23"/>
  <c r="I4" i="23"/>
  <c r="F4" i="23"/>
  <c r="C4" i="23"/>
  <c r="J3" i="23"/>
  <c r="I3" i="23"/>
  <c r="F3" i="23"/>
  <c r="C3" i="23"/>
  <c r="AI28" i="21"/>
  <c r="AI27" i="21"/>
  <c r="AI26" i="21"/>
  <c r="AI25" i="21"/>
  <c r="AI22" i="21"/>
  <c r="AJ22" i="21" s="1"/>
  <c r="AG22" i="21"/>
  <c r="T18" i="21"/>
  <c r="P14" i="21"/>
  <c r="N14" i="21"/>
  <c r="AS13" i="21"/>
  <c r="AS14" i="21" s="1"/>
  <c r="AN13" i="21"/>
  <c r="N13" i="21"/>
  <c r="Q13" i="21" s="1"/>
  <c r="G45" i="21" s="1"/>
  <c r="Y10" i="21"/>
  <c r="Y20" i="21" s="1"/>
  <c r="Y9" i="21"/>
  <c r="Y19" i="21" s="1"/>
  <c r="Y8" i="21"/>
  <c r="K8" i="21"/>
  <c r="K18" i="21" s="1"/>
  <c r="AS6" i="21"/>
  <c r="F5" i="21"/>
  <c r="AI28" i="20"/>
  <c r="AI27" i="20"/>
  <c r="AI26" i="20"/>
  <c r="AI25" i="20"/>
  <c r="AI24" i="20"/>
  <c r="AI22" i="20"/>
  <c r="AG22" i="20"/>
  <c r="AJ22" i="20" s="1"/>
  <c r="T18" i="20"/>
  <c r="Y14" i="20"/>
  <c r="P14" i="20"/>
  <c r="N14" i="20"/>
  <c r="AS13" i="20"/>
  <c r="AS14" i="20" s="1"/>
  <c r="AN13" i="20"/>
  <c r="N13" i="20"/>
  <c r="Q13" i="20" s="1"/>
  <c r="G45" i="20" s="1"/>
  <c r="Y10" i="20"/>
  <c r="Y20" i="20" s="1"/>
  <c r="Y9" i="20"/>
  <c r="Y19" i="20" s="1"/>
  <c r="Y8" i="20"/>
  <c r="Y18" i="20" s="1"/>
  <c r="K8" i="20"/>
  <c r="K13" i="20" s="1"/>
  <c r="AS6" i="20"/>
  <c r="F5" i="20"/>
  <c r="AI28" i="18"/>
  <c r="AI27" i="18"/>
  <c r="AI26" i="18"/>
  <c r="AI25" i="18"/>
  <c r="AI24" i="18"/>
  <c r="AI23" i="18"/>
  <c r="AG22" i="18"/>
  <c r="P14" i="18"/>
  <c r="N14" i="18"/>
  <c r="AS13" i="18"/>
  <c r="AS14" i="18" s="1"/>
  <c r="AN13" i="18"/>
  <c r="Y13" i="18"/>
  <c r="N13" i="18"/>
  <c r="Q13" i="18" s="1"/>
  <c r="G45" i="18" s="1"/>
  <c r="Y10" i="18"/>
  <c r="Y9" i="18"/>
  <c r="Y19" i="18" s="1"/>
  <c r="Y8" i="18"/>
  <c r="Y18" i="18" s="1"/>
  <c r="K8" i="18"/>
  <c r="K18" i="18" s="1"/>
  <c r="F5" i="18"/>
  <c r="AI28" i="17"/>
  <c r="AI27" i="17"/>
  <c r="AI26" i="17"/>
  <c r="AI25" i="17"/>
  <c r="AI24" i="17"/>
  <c r="AI23" i="17"/>
  <c r="AI22" i="17"/>
  <c r="AG22" i="17"/>
  <c r="T18" i="17"/>
  <c r="P14" i="17"/>
  <c r="N14" i="17"/>
  <c r="AS13" i="17"/>
  <c r="AS14" i="17" s="1"/>
  <c r="AN13" i="17"/>
  <c r="N13" i="17"/>
  <c r="Q13" i="17" s="1"/>
  <c r="G45" i="17" s="1"/>
  <c r="Y10" i="17"/>
  <c r="Y15" i="17" s="1"/>
  <c r="Y9" i="17"/>
  <c r="Y8" i="17"/>
  <c r="Y18" i="17" s="1"/>
  <c r="K8" i="17"/>
  <c r="K13" i="17" s="1"/>
  <c r="AS6" i="17"/>
  <c r="F5" i="17"/>
  <c r="J14" i="14"/>
  <c r="J13" i="14"/>
  <c r="J40" i="13"/>
  <c r="U28" i="13"/>
  <c r="U27" i="13"/>
  <c r="U27" i="14" s="1"/>
  <c r="U26" i="13"/>
  <c r="U26" i="14" s="1"/>
  <c r="U25" i="13"/>
  <c r="U25" i="14" s="1"/>
  <c r="U24" i="13"/>
  <c r="U24" i="14" s="1"/>
  <c r="U23" i="13"/>
  <c r="U23" i="14" s="1"/>
  <c r="D22" i="13"/>
  <c r="D22" i="14" s="1"/>
  <c r="O20" i="13"/>
  <c r="AA14" i="13"/>
  <c r="AQ14" i="18" s="1"/>
  <c r="AT14" i="18" s="1"/>
  <c r="G70" i="18" s="1"/>
  <c r="AA13" i="13"/>
  <c r="G13" i="13"/>
  <c r="O14" i="13" s="1"/>
  <c r="G8" i="13"/>
  <c r="G8" i="14" s="1"/>
  <c r="D6" i="13"/>
  <c r="R6" i="13" s="1"/>
  <c r="D5" i="13"/>
  <c r="D5" i="14" s="1"/>
  <c r="H22" i="10"/>
  <c r="G22" i="10"/>
  <c r="G30" i="10" s="1"/>
  <c r="G39" i="10" s="1"/>
  <c r="H39" i="10" s="1"/>
  <c r="G8" i="10"/>
  <c r="Z6" i="10"/>
  <c r="Z32" i="10" s="1"/>
  <c r="Z5" i="10"/>
  <c r="Z31" i="10" s="1"/>
  <c r="Z4" i="10"/>
  <c r="Z30" i="10" s="1"/>
  <c r="L4" i="10"/>
  <c r="L30" i="10" s="1"/>
  <c r="G4" i="10"/>
  <c r="G22" i="9"/>
  <c r="G30" i="9" s="1"/>
  <c r="G39" i="9" s="1"/>
  <c r="H39" i="9" s="1"/>
  <c r="G8" i="9"/>
  <c r="Z6" i="9"/>
  <c r="Z14" i="9" s="1"/>
  <c r="Z40" i="9" s="1"/>
  <c r="AA40" i="9" s="1"/>
  <c r="Z5" i="9"/>
  <c r="Z31" i="9" s="1"/>
  <c r="Z4" i="9"/>
  <c r="Z30" i="9" s="1"/>
  <c r="L4" i="9"/>
  <c r="L12" i="9" s="1"/>
  <c r="L39" i="9" s="1"/>
  <c r="M39" i="9" s="1"/>
  <c r="G4" i="9"/>
  <c r="G22" i="7"/>
  <c r="G30" i="7" s="1"/>
  <c r="G39" i="7" s="1"/>
  <c r="H39" i="7" s="1"/>
  <c r="G8" i="7"/>
  <c r="Z6" i="7"/>
  <c r="Z5" i="7"/>
  <c r="Z31" i="7" s="1"/>
  <c r="Z4" i="7"/>
  <c r="Z12" i="7" s="1"/>
  <c r="L4" i="7"/>
  <c r="L30" i="7" s="1"/>
  <c r="G4" i="7"/>
  <c r="G22" i="6"/>
  <c r="G30" i="6" s="1"/>
  <c r="G39" i="6" s="1"/>
  <c r="G8" i="6"/>
  <c r="Z6" i="6"/>
  <c r="Z14" i="6" s="1"/>
  <c r="Z5" i="6"/>
  <c r="Z31" i="6" s="1"/>
  <c r="Z39" i="6" s="1"/>
  <c r="AA39" i="6" s="1"/>
  <c r="Z4" i="6"/>
  <c r="Z12" i="6" s="1"/>
  <c r="L4" i="6"/>
  <c r="L30" i="6" s="1"/>
  <c r="G4" i="6"/>
  <c r="O60" i="3"/>
  <c r="E22" i="3"/>
  <c r="K16" i="3"/>
  <c r="O16" i="6" s="1"/>
  <c r="R16" i="6" s="1"/>
  <c r="G68" i="6" s="1"/>
  <c r="K15" i="3"/>
  <c r="K14" i="3"/>
  <c r="K13" i="3"/>
  <c r="K12" i="3"/>
  <c r="E12" i="3"/>
  <c r="E8" i="3"/>
  <c r="S4" i="3"/>
  <c r="E4" i="3"/>
  <c r="O60" i="2"/>
  <c r="P13" i="2" s="1"/>
  <c r="P13" i="3" s="1"/>
  <c r="E30" i="2"/>
  <c r="S30" i="2" s="1"/>
  <c r="E26" i="2"/>
  <c r="S26" i="2" s="1"/>
  <c r="S22" i="2"/>
  <c r="E18" i="2"/>
  <c r="S18" i="2" s="1"/>
  <c r="S12" i="2"/>
  <c r="S12" i="3" s="1"/>
  <c r="S8" i="2"/>
  <c r="E26" i="3" l="1"/>
  <c r="S39" i="3"/>
  <c r="U28" i="14"/>
  <c r="P4" i="2"/>
  <c r="P4" i="3" s="1"/>
  <c r="P14" i="2"/>
  <c r="P14" i="3" s="1"/>
  <c r="P24" i="2"/>
  <c r="P24" i="3" s="1"/>
  <c r="P31" i="2"/>
  <c r="P31" i="3" s="1"/>
  <c r="X31" i="6" s="1"/>
  <c r="AA31" i="6" s="1"/>
  <c r="G88" i="6" s="1"/>
  <c r="O10" i="13"/>
  <c r="O10" i="14" s="1"/>
  <c r="D6" i="14"/>
  <c r="Q14" i="21"/>
  <c r="G46" i="21" s="1"/>
  <c r="P32" i="2"/>
  <c r="P32" i="3" s="1"/>
  <c r="G13" i="14"/>
  <c r="O14" i="14"/>
  <c r="P8" i="2"/>
  <c r="P8" i="3" s="1"/>
  <c r="P26" i="2"/>
  <c r="P26" i="3" s="1"/>
  <c r="P6" i="2"/>
  <c r="P6" i="3" s="1"/>
  <c r="P18" i="2"/>
  <c r="P19" i="2"/>
  <c r="P27" i="2"/>
  <c r="P27" i="3" s="1"/>
  <c r="X27" i="7" s="1"/>
  <c r="P9" i="2"/>
  <c r="P9" i="3" s="1"/>
  <c r="P20" i="2"/>
  <c r="P28" i="2"/>
  <c r="P28" i="3" s="1"/>
  <c r="O20" i="14"/>
  <c r="P10" i="2"/>
  <c r="P10" i="3" s="1"/>
  <c r="P22" i="2"/>
  <c r="P22" i="3" s="1"/>
  <c r="D7" i="13"/>
  <c r="D7" i="14" s="1"/>
  <c r="O15" i="13"/>
  <c r="Q14" i="17"/>
  <c r="G46" i="17" s="1"/>
  <c r="K18" i="20"/>
  <c r="AA13" i="14"/>
  <c r="P12" i="2"/>
  <c r="P12" i="3" s="1"/>
  <c r="P30" i="2"/>
  <c r="P30" i="3" s="1"/>
  <c r="P23" i="2"/>
  <c r="P23" i="3" s="1"/>
  <c r="O8" i="13"/>
  <c r="O8" i="14" s="1"/>
  <c r="O9" i="13"/>
  <c r="O9" i="14" s="1"/>
  <c r="AA14" i="14"/>
  <c r="G58" i="20"/>
  <c r="Z13" i="6"/>
  <c r="L12" i="7"/>
  <c r="L39" i="7" s="1"/>
  <c r="M39" i="7" s="1"/>
  <c r="Z12" i="10"/>
  <c r="Q14" i="18"/>
  <c r="G46" i="18" s="1"/>
  <c r="Q14" i="20"/>
  <c r="G46" i="20" s="1"/>
  <c r="G58" i="21"/>
  <c r="L12" i="6"/>
  <c r="L39" i="6" s="1"/>
  <c r="Z13" i="9"/>
  <c r="Z39" i="9" s="1"/>
  <c r="AA39" i="9" s="1"/>
  <c r="K18" i="17"/>
  <c r="AJ22" i="18"/>
  <c r="G58" i="18" s="1"/>
  <c r="Z12" i="9"/>
  <c r="K13" i="18"/>
  <c r="Y15" i="20"/>
  <c r="Z13" i="7"/>
  <c r="Z13" i="10"/>
  <c r="Z39" i="10" s="1"/>
  <c r="AA39" i="10" s="1"/>
  <c r="X14" i="14"/>
  <c r="I8" i="20"/>
  <c r="L8" i="20" s="1"/>
  <c r="G42" i="20" s="1"/>
  <c r="X4" i="10"/>
  <c r="AA4" i="10" s="1"/>
  <c r="G69" i="10" s="1"/>
  <c r="X4" i="9"/>
  <c r="AA4" i="9" s="1"/>
  <c r="G69" i="9" s="1"/>
  <c r="X4" i="7"/>
  <c r="AA4" i="7" s="1"/>
  <c r="G69" i="7" s="1"/>
  <c r="X4" i="6"/>
  <c r="AA4" i="6" s="1"/>
  <c r="G69" i="6" s="1"/>
  <c r="X24" i="10"/>
  <c r="X24" i="9"/>
  <c r="X24" i="7"/>
  <c r="X24" i="6"/>
  <c r="X26" i="10"/>
  <c r="X26" i="9"/>
  <c r="X26" i="7"/>
  <c r="X26" i="6"/>
  <c r="X14" i="10"/>
  <c r="X14" i="9"/>
  <c r="AA14" i="9" s="1"/>
  <c r="G77" i="9" s="1"/>
  <c r="X14" i="7"/>
  <c r="X14" i="6"/>
  <c r="AA14" i="6" s="1"/>
  <c r="G77" i="6" s="1"/>
  <c r="X32" i="10"/>
  <c r="AA32" i="10" s="1"/>
  <c r="G89" i="10" s="1"/>
  <c r="X32" i="9"/>
  <c r="X32" i="7"/>
  <c r="X32" i="6"/>
  <c r="X28" i="10"/>
  <c r="X28" i="9"/>
  <c r="X28" i="7"/>
  <c r="X28" i="6"/>
  <c r="X6" i="10"/>
  <c r="AA6" i="10" s="1"/>
  <c r="G71" i="10" s="1"/>
  <c r="X6" i="9"/>
  <c r="AA6" i="9" s="1"/>
  <c r="G71" i="9" s="1"/>
  <c r="X6" i="7"/>
  <c r="AA6" i="7" s="1"/>
  <c r="G71" i="7" s="1"/>
  <c r="X6" i="6"/>
  <c r="AA6" i="6" s="1"/>
  <c r="G71" i="6" s="1"/>
  <c r="X8" i="10"/>
  <c r="X8" i="7"/>
  <c r="X8" i="6"/>
  <c r="X8" i="9"/>
  <c r="X9" i="10"/>
  <c r="X9" i="9"/>
  <c r="X9" i="6"/>
  <c r="X9" i="7"/>
  <c r="X30" i="10"/>
  <c r="AA30" i="10" s="1"/>
  <c r="G87" i="10" s="1"/>
  <c r="X30" i="9"/>
  <c r="AA30" i="9" s="1"/>
  <c r="G87" i="9" s="1"/>
  <c r="X30" i="7"/>
  <c r="X30" i="6"/>
  <c r="X13" i="10"/>
  <c r="AA13" i="10" s="1"/>
  <c r="G76" i="10" s="1"/>
  <c r="X13" i="9"/>
  <c r="X13" i="7"/>
  <c r="AA13" i="7" s="1"/>
  <c r="G76" i="7" s="1"/>
  <c r="X13" i="6"/>
  <c r="X12" i="10"/>
  <c r="AA12" i="10" s="1"/>
  <c r="G75" i="10" s="1"/>
  <c r="X12" i="9"/>
  <c r="X12" i="6"/>
  <c r="AA12" i="6" s="1"/>
  <c r="G75" i="6" s="1"/>
  <c r="X12" i="7"/>
  <c r="AA12" i="7" s="1"/>
  <c r="G75" i="7" s="1"/>
  <c r="AC12" i="10"/>
  <c r="AC12" i="9"/>
  <c r="AC12" i="6"/>
  <c r="AC12" i="7"/>
  <c r="X23" i="10"/>
  <c r="X23" i="9"/>
  <c r="X23" i="7"/>
  <c r="X23" i="6"/>
  <c r="O16" i="7"/>
  <c r="R16" i="7" s="1"/>
  <c r="G68" i="7" s="1"/>
  <c r="J26" i="10"/>
  <c r="J26" i="9"/>
  <c r="J26" i="7"/>
  <c r="J26" i="6"/>
  <c r="Z18" i="6"/>
  <c r="Z22" i="6"/>
  <c r="Z26" i="6"/>
  <c r="Z30" i="6"/>
  <c r="G26" i="7"/>
  <c r="E22" i="10"/>
  <c r="E22" i="7"/>
  <c r="H22" i="7" s="1"/>
  <c r="E22" i="6"/>
  <c r="H22" i="6" s="1"/>
  <c r="E22" i="9"/>
  <c r="J12" i="6"/>
  <c r="M12" i="6" s="1"/>
  <c r="G59" i="6" s="1"/>
  <c r="Z32" i="7"/>
  <c r="Z14" i="7"/>
  <c r="Z10" i="7"/>
  <c r="E26" i="7"/>
  <c r="E26" i="6"/>
  <c r="E26" i="10"/>
  <c r="E26" i="9"/>
  <c r="O15" i="10"/>
  <c r="R15" i="10" s="1"/>
  <c r="G67" i="10" s="1"/>
  <c r="O15" i="9"/>
  <c r="R15" i="9" s="1"/>
  <c r="G67" i="9" s="1"/>
  <c r="O15" i="7"/>
  <c r="R15" i="7" s="1"/>
  <c r="G67" i="7" s="1"/>
  <c r="O15" i="6"/>
  <c r="R15" i="6" s="1"/>
  <c r="G67" i="6" s="1"/>
  <c r="J22" i="10"/>
  <c r="J22" i="9"/>
  <c r="J22" i="7"/>
  <c r="J22" i="6"/>
  <c r="X10" i="10"/>
  <c r="X10" i="9"/>
  <c r="X10" i="7"/>
  <c r="X10" i="6"/>
  <c r="E8" i="10"/>
  <c r="H8" i="10" s="1"/>
  <c r="E8" i="7"/>
  <c r="H8" i="7" s="1"/>
  <c r="E8" i="6"/>
  <c r="H8" i="6" s="1"/>
  <c r="E8" i="9"/>
  <c r="H8" i="9" s="1"/>
  <c r="S26" i="3"/>
  <c r="J8" i="10"/>
  <c r="J8" i="9"/>
  <c r="J8" i="7"/>
  <c r="J8" i="6"/>
  <c r="E18" i="3"/>
  <c r="AC4" i="6"/>
  <c r="Z8" i="6"/>
  <c r="Z20" i="6"/>
  <c r="Z24" i="6"/>
  <c r="Z28" i="6"/>
  <c r="Z32" i="6"/>
  <c r="Z40" i="6" s="1"/>
  <c r="AA40" i="6" s="1"/>
  <c r="Z18" i="7"/>
  <c r="Z22" i="7"/>
  <c r="Z26" i="7"/>
  <c r="Z30" i="7"/>
  <c r="O14" i="9"/>
  <c r="R14" i="9" s="1"/>
  <c r="G66" i="9" s="1"/>
  <c r="O14" i="7"/>
  <c r="R14" i="7" s="1"/>
  <c r="G66" i="7" s="1"/>
  <c r="O14" i="6"/>
  <c r="R14" i="6" s="1"/>
  <c r="G66" i="6" s="1"/>
  <c r="O14" i="10"/>
  <c r="R14" i="10" s="1"/>
  <c r="G66" i="10" s="1"/>
  <c r="O12" i="10"/>
  <c r="R12" i="10" s="1"/>
  <c r="G64" i="10" s="1"/>
  <c r="O12" i="9"/>
  <c r="R12" i="9" s="1"/>
  <c r="G64" i="9" s="1"/>
  <c r="O12" i="7"/>
  <c r="R12" i="7" s="1"/>
  <c r="G64" i="7" s="1"/>
  <c r="O12" i="6"/>
  <c r="R12" i="6" s="1"/>
  <c r="G64" i="6" s="1"/>
  <c r="E4" i="10"/>
  <c r="H4" i="10" s="1"/>
  <c r="E4" i="9"/>
  <c r="H4" i="9" s="1"/>
  <c r="E4" i="7"/>
  <c r="H4" i="7" s="1"/>
  <c r="E4" i="6"/>
  <c r="H4" i="6" s="1"/>
  <c r="J18" i="10"/>
  <c r="J18" i="9"/>
  <c r="J18" i="7"/>
  <c r="J18" i="6"/>
  <c r="S22" i="3"/>
  <c r="AC4" i="10"/>
  <c r="AC4" i="9"/>
  <c r="O13" i="10"/>
  <c r="R13" i="10" s="1"/>
  <c r="G65" i="10" s="1"/>
  <c r="O13" i="9"/>
  <c r="R13" i="9" s="1"/>
  <c r="G65" i="9" s="1"/>
  <c r="O13" i="7"/>
  <c r="R13" i="7" s="1"/>
  <c r="G65" i="7" s="1"/>
  <c r="O13" i="6"/>
  <c r="R13" i="6" s="1"/>
  <c r="G65" i="6" s="1"/>
  <c r="E30" i="3"/>
  <c r="G26" i="6"/>
  <c r="E12" i="7"/>
  <c r="H12" i="7" s="1"/>
  <c r="E12" i="6"/>
  <c r="H12" i="6" s="1"/>
  <c r="E12" i="10"/>
  <c r="H12" i="10" s="1"/>
  <c r="E12" i="9"/>
  <c r="H12" i="9" s="1"/>
  <c r="J12" i="10"/>
  <c r="J12" i="9"/>
  <c r="M12" i="9" s="1"/>
  <c r="G59" i="9" s="1"/>
  <c r="O16" i="10"/>
  <c r="R16" i="10" s="1"/>
  <c r="G68" i="10" s="1"/>
  <c r="O16" i="9"/>
  <c r="R16" i="9" s="1"/>
  <c r="G68" i="9" s="1"/>
  <c r="J4" i="10"/>
  <c r="M4" i="10" s="1"/>
  <c r="G57" i="10" s="1"/>
  <c r="J4" i="9"/>
  <c r="M4" i="9" s="1"/>
  <c r="G57" i="9" s="1"/>
  <c r="J4" i="7"/>
  <c r="M4" i="7" s="1"/>
  <c r="G57" i="7" s="1"/>
  <c r="J4" i="6"/>
  <c r="M4" i="6" s="1"/>
  <c r="G57" i="6" s="1"/>
  <c r="S8" i="3"/>
  <c r="P5" i="2"/>
  <c r="P5" i="3" s="1"/>
  <c r="J30" i="10"/>
  <c r="M30" i="10" s="1"/>
  <c r="J30" i="9"/>
  <c r="J30" i="7"/>
  <c r="M30" i="7" s="1"/>
  <c r="J30" i="6"/>
  <c r="M30" i="6" s="1"/>
  <c r="Z10" i="6"/>
  <c r="AC4" i="7"/>
  <c r="Z8" i="7"/>
  <c r="Z20" i="7"/>
  <c r="Z24" i="7"/>
  <c r="Z28" i="7"/>
  <c r="Z9" i="6"/>
  <c r="Z19" i="6"/>
  <c r="Z23" i="6"/>
  <c r="Z27" i="6"/>
  <c r="Z9" i="7"/>
  <c r="Z19" i="7"/>
  <c r="Z23" i="7"/>
  <c r="Z27" i="7"/>
  <c r="Z10" i="9"/>
  <c r="L8" i="6"/>
  <c r="L18" i="6"/>
  <c r="L22" i="6"/>
  <c r="L26" i="6"/>
  <c r="L8" i="7"/>
  <c r="L18" i="7"/>
  <c r="L22" i="7"/>
  <c r="L26" i="7"/>
  <c r="L26" i="9"/>
  <c r="W10" i="20"/>
  <c r="Z10" i="20" s="1"/>
  <c r="G50" i="20" s="1"/>
  <c r="W10" i="18"/>
  <c r="Z10" i="18" s="1"/>
  <c r="G50" i="18" s="1"/>
  <c r="W10" i="21"/>
  <c r="Z10" i="21" s="1"/>
  <c r="G50" i="21" s="1"/>
  <c r="W10" i="17"/>
  <c r="Z10" i="17" s="1"/>
  <c r="G50" i="17" s="1"/>
  <c r="W9" i="17"/>
  <c r="Z9" i="17" s="1"/>
  <c r="G49" i="17" s="1"/>
  <c r="W9" i="20"/>
  <c r="Z9" i="20" s="1"/>
  <c r="G49" i="20" s="1"/>
  <c r="W9" i="18"/>
  <c r="Z9" i="18" s="1"/>
  <c r="G49" i="18" s="1"/>
  <c r="W9" i="21"/>
  <c r="Z9" i="21" s="1"/>
  <c r="G49" i="21" s="1"/>
  <c r="L8" i="9"/>
  <c r="W14" i="21"/>
  <c r="W14" i="17"/>
  <c r="W14" i="20"/>
  <c r="Z14" i="20" s="1"/>
  <c r="G52" i="20" s="1"/>
  <c r="W14" i="18"/>
  <c r="D22" i="18"/>
  <c r="G22" i="18" s="1"/>
  <c r="G35" i="18" s="1"/>
  <c r="D22" i="21"/>
  <c r="G22" i="21" s="1"/>
  <c r="G35" i="21" s="1"/>
  <c r="D22" i="17"/>
  <c r="G22" i="17" s="1"/>
  <c r="G35" i="17" s="1"/>
  <c r="D22" i="20"/>
  <c r="G22" i="20" s="1"/>
  <c r="G35" i="20" s="1"/>
  <c r="D6" i="20"/>
  <c r="G6" i="20" s="1"/>
  <c r="G33" i="20" s="1"/>
  <c r="D6" i="18"/>
  <c r="G6" i="18" s="1"/>
  <c r="G33" i="18" s="1"/>
  <c r="D6" i="21"/>
  <c r="G6" i="21" s="1"/>
  <c r="G33" i="21" s="1"/>
  <c r="D6" i="17"/>
  <c r="G6" i="17" s="1"/>
  <c r="G33" i="17" s="1"/>
  <c r="L18" i="9"/>
  <c r="L22" i="9"/>
  <c r="Z32" i="9"/>
  <c r="AL16" i="21"/>
  <c r="AO16" i="21" s="1"/>
  <c r="AL16" i="17"/>
  <c r="AO16" i="17" s="1"/>
  <c r="AL16" i="20"/>
  <c r="AO16" i="20" s="1"/>
  <c r="AL16" i="18"/>
  <c r="AO16" i="18" s="1"/>
  <c r="AG23" i="18"/>
  <c r="AJ23" i="18" s="1"/>
  <c r="AG23" i="21"/>
  <c r="AJ23" i="21" s="1"/>
  <c r="G59" i="21" s="1"/>
  <c r="AG23" i="17"/>
  <c r="AJ23" i="17" s="1"/>
  <c r="AG23" i="20"/>
  <c r="AJ23" i="20" s="1"/>
  <c r="G59" i="20" s="1"/>
  <c r="D5" i="17"/>
  <c r="G5" i="17" s="1"/>
  <c r="G32" i="17" s="1"/>
  <c r="D5" i="20"/>
  <c r="G5" i="20" s="1"/>
  <c r="D5" i="18"/>
  <c r="G5" i="18" s="1"/>
  <c r="G32" i="18" s="1"/>
  <c r="D5" i="21"/>
  <c r="G5" i="21" s="1"/>
  <c r="I13" i="17"/>
  <c r="L13" i="17" s="1"/>
  <c r="G43" i="17" s="1"/>
  <c r="I13" i="20"/>
  <c r="L13" i="20" s="1"/>
  <c r="G43" i="20" s="1"/>
  <c r="I13" i="18"/>
  <c r="L13" i="18" s="1"/>
  <c r="G43" i="18" s="1"/>
  <c r="I13" i="21"/>
  <c r="Z28" i="9"/>
  <c r="AB6" i="20"/>
  <c r="AE6" i="20" s="1"/>
  <c r="G57" i="20" s="1"/>
  <c r="AB6" i="18"/>
  <c r="AE6" i="18" s="1"/>
  <c r="G57" i="18" s="1"/>
  <c r="AB6" i="21"/>
  <c r="AE6" i="21" s="1"/>
  <c r="G57" i="21" s="1"/>
  <c r="AB6" i="17"/>
  <c r="AE6" i="17" s="1"/>
  <c r="G57" i="17" s="1"/>
  <c r="AA6" i="13"/>
  <c r="AA6" i="14" s="1"/>
  <c r="R6" i="14"/>
  <c r="D7" i="17"/>
  <c r="G7" i="17" s="1"/>
  <c r="G34" i="17" s="1"/>
  <c r="D7" i="20"/>
  <c r="G7" i="20" s="1"/>
  <c r="G34" i="20" s="1"/>
  <c r="D7" i="18"/>
  <c r="G7" i="18" s="1"/>
  <c r="G34" i="18" s="1"/>
  <c r="D7" i="21"/>
  <c r="G7" i="21" s="1"/>
  <c r="G34" i="21" s="1"/>
  <c r="Z20" i="9"/>
  <c r="Z24" i="9"/>
  <c r="L30" i="9"/>
  <c r="W15" i="21"/>
  <c r="W15" i="17"/>
  <c r="Z15" i="17" s="1"/>
  <c r="G53" i="17" s="1"/>
  <c r="W15" i="20"/>
  <c r="Z15" i="20" s="1"/>
  <c r="G53" i="20" s="1"/>
  <c r="W15" i="18"/>
  <c r="G26" i="9"/>
  <c r="G26" i="10"/>
  <c r="AG24" i="18"/>
  <c r="AJ24" i="18" s="1"/>
  <c r="G60" i="18" s="1"/>
  <c r="AG24" i="21"/>
  <c r="AJ24" i="21" s="1"/>
  <c r="G60" i="21" s="1"/>
  <c r="AG24" i="17"/>
  <c r="AJ24" i="17" s="1"/>
  <c r="G60" i="17" s="1"/>
  <c r="D26" i="20"/>
  <c r="G26" i="20" s="1"/>
  <c r="G39" i="20" s="1"/>
  <c r="D26" i="21"/>
  <c r="G26" i="21" s="1"/>
  <c r="G39" i="21" s="1"/>
  <c r="D26" i="17"/>
  <c r="G26" i="17" s="1"/>
  <c r="G39" i="17" s="1"/>
  <c r="AG24" i="20"/>
  <c r="AJ24" i="20" s="1"/>
  <c r="G60" i="20" s="1"/>
  <c r="Y18" i="21"/>
  <c r="Y13" i="21"/>
  <c r="AG26" i="21"/>
  <c r="AJ26" i="21" s="1"/>
  <c r="G62" i="21" s="1"/>
  <c r="O13" i="13"/>
  <c r="O13" i="14" s="1"/>
  <c r="AG25" i="20"/>
  <c r="AJ25" i="20" s="1"/>
  <c r="G61" i="20" s="1"/>
  <c r="AG25" i="18"/>
  <c r="AJ25" i="18" s="1"/>
  <c r="G61" i="18" s="1"/>
  <c r="AG25" i="21"/>
  <c r="AJ25" i="21" s="1"/>
  <c r="G61" i="21" s="1"/>
  <c r="Z9" i="9"/>
  <c r="Z19" i="9"/>
  <c r="Z23" i="9"/>
  <c r="Z27" i="9"/>
  <c r="Z9" i="10"/>
  <c r="L12" i="10"/>
  <c r="L39" i="10" s="1"/>
  <c r="M39" i="10" s="1"/>
  <c r="Z14" i="10"/>
  <c r="Z40" i="10" s="1"/>
  <c r="AA40" i="10" s="1"/>
  <c r="Z19" i="10"/>
  <c r="Z23" i="10"/>
  <c r="Z27" i="10"/>
  <c r="AL13" i="17"/>
  <c r="AO13" i="17" s="1"/>
  <c r="G65" i="17" s="1"/>
  <c r="AL13" i="20"/>
  <c r="AO13" i="20" s="1"/>
  <c r="G65" i="20" s="1"/>
  <c r="AL13" i="18"/>
  <c r="AO13" i="18" s="1"/>
  <c r="G65" i="18" s="1"/>
  <c r="R18" i="20"/>
  <c r="U18" i="20" s="1"/>
  <c r="G47" i="20" s="1"/>
  <c r="R18" i="18"/>
  <c r="U18" i="18" s="1"/>
  <c r="G47" i="18" s="1"/>
  <c r="R18" i="21"/>
  <c r="U18" i="21" s="1"/>
  <c r="G47" i="21" s="1"/>
  <c r="AG26" i="17"/>
  <c r="AJ26" i="17" s="1"/>
  <c r="G62" i="17" s="1"/>
  <c r="AG26" i="20"/>
  <c r="AJ26" i="20" s="1"/>
  <c r="G62" i="20" s="1"/>
  <c r="AG26" i="18"/>
  <c r="AJ26" i="18" s="1"/>
  <c r="G62" i="18" s="1"/>
  <c r="D23" i="20"/>
  <c r="G23" i="20" s="1"/>
  <c r="G36" i="20" s="1"/>
  <c r="D23" i="18"/>
  <c r="G23" i="18" s="1"/>
  <c r="G36" i="18" s="1"/>
  <c r="D23" i="21"/>
  <c r="G23" i="21" s="1"/>
  <c r="G36" i="21" s="1"/>
  <c r="D23" i="17"/>
  <c r="G23" i="17" s="1"/>
  <c r="G36" i="17" s="1"/>
  <c r="D27" i="17"/>
  <c r="G27" i="17" s="1"/>
  <c r="G40" i="17" s="1"/>
  <c r="D27" i="20"/>
  <c r="G27" i="20" s="1"/>
  <c r="G40" i="20" s="1"/>
  <c r="D27" i="18"/>
  <c r="G27" i="18" s="1"/>
  <c r="G40" i="18" s="1"/>
  <c r="D27" i="21"/>
  <c r="G27" i="21" s="1"/>
  <c r="G40" i="21" s="1"/>
  <c r="R18" i="17"/>
  <c r="U18" i="17" s="1"/>
  <c r="G47" i="17" s="1"/>
  <c r="D26" i="18"/>
  <c r="G26" i="18" s="1"/>
  <c r="G39" i="18" s="1"/>
  <c r="W20" i="20"/>
  <c r="Z20" i="20" s="1"/>
  <c r="G56" i="20" s="1"/>
  <c r="AG28" i="20"/>
  <c r="AJ28" i="20" s="1"/>
  <c r="G64" i="20" s="1"/>
  <c r="L8" i="10"/>
  <c r="L18" i="10"/>
  <c r="L22" i="10"/>
  <c r="L26" i="10"/>
  <c r="AQ13" i="20"/>
  <c r="AT13" i="20" s="1"/>
  <c r="G69" i="20" s="1"/>
  <c r="AQ13" i="18"/>
  <c r="AT13" i="18" s="1"/>
  <c r="G69" i="18" s="1"/>
  <c r="AQ13" i="21"/>
  <c r="AT13" i="21" s="1"/>
  <c r="G69" i="21" s="1"/>
  <c r="O18" i="13"/>
  <c r="O18" i="14" s="1"/>
  <c r="AG27" i="18"/>
  <c r="AJ27" i="18" s="1"/>
  <c r="G63" i="18" s="1"/>
  <c r="AG27" i="21"/>
  <c r="AJ27" i="21" s="1"/>
  <c r="G63" i="21" s="1"/>
  <c r="AG27" i="17"/>
  <c r="AJ27" i="17" s="1"/>
  <c r="G63" i="17" s="1"/>
  <c r="AG27" i="20"/>
  <c r="AJ27" i="20" s="1"/>
  <c r="G63" i="20" s="1"/>
  <c r="I8" i="17"/>
  <c r="L8" i="17" s="1"/>
  <c r="G42" i="17" s="1"/>
  <c r="I8" i="18"/>
  <c r="L8" i="18" s="1"/>
  <c r="G42" i="18" s="1"/>
  <c r="I8" i="21"/>
  <c r="L8" i="21" s="1"/>
  <c r="G42" i="21" s="1"/>
  <c r="I18" i="17"/>
  <c r="L18" i="17" s="1"/>
  <c r="G44" i="17" s="1"/>
  <c r="I18" i="20"/>
  <c r="L18" i="20" s="1"/>
  <c r="G44" i="20" s="1"/>
  <c r="I18" i="18"/>
  <c r="L18" i="18" s="1"/>
  <c r="G44" i="18" s="1"/>
  <c r="AQ13" i="17"/>
  <c r="AT13" i="17" s="1"/>
  <c r="G69" i="17" s="1"/>
  <c r="O19" i="13"/>
  <c r="O19" i="14" s="1"/>
  <c r="AG28" i="18"/>
  <c r="AJ28" i="18" s="1"/>
  <c r="G64" i="18" s="1"/>
  <c r="AG28" i="21"/>
  <c r="AJ28" i="21" s="1"/>
  <c r="G64" i="21" s="1"/>
  <c r="AG28" i="17"/>
  <c r="AJ28" i="17" s="1"/>
  <c r="G64" i="17" s="1"/>
  <c r="D24" i="21"/>
  <c r="G24" i="21" s="1"/>
  <c r="G37" i="21" s="1"/>
  <c r="D24" i="17"/>
  <c r="G24" i="17" s="1"/>
  <c r="G37" i="17" s="1"/>
  <c r="D24" i="20"/>
  <c r="G24" i="20" s="1"/>
  <c r="G37" i="20" s="1"/>
  <c r="D24" i="18"/>
  <c r="G24" i="18" s="1"/>
  <c r="G37" i="18" s="1"/>
  <c r="D28" i="21"/>
  <c r="G28" i="21" s="1"/>
  <c r="G41" i="21" s="1"/>
  <c r="D28" i="17"/>
  <c r="G28" i="17" s="1"/>
  <c r="G41" i="17" s="1"/>
  <c r="D28" i="20"/>
  <c r="G28" i="20" s="1"/>
  <c r="G41" i="20" s="1"/>
  <c r="D28" i="18"/>
  <c r="G28" i="18" s="1"/>
  <c r="G41" i="18" s="1"/>
  <c r="AG25" i="17"/>
  <c r="AJ25" i="17" s="1"/>
  <c r="G61" i="17" s="1"/>
  <c r="Y20" i="18"/>
  <c r="Y15" i="18"/>
  <c r="I18" i="21"/>
  <c r="L18" i="21" s="1"/>
  <c r="G44" i="21" s="1"/>
  <c r="Z10" i="10"/>
  <c r="Z20" i="10"/>
  <c r="Z24" i="10"/>
  <c r="Z28" i="10"/>
  <c r="W8" i="18"/>
  <c r="Z8" i="18" s="1"/>
  <c r="G48" i="18" s="1"/>
  <c r="W8" i="21"/>
  <c r="Z8" i="21" s="1"/>
  <c r="G48" i="21" s="1"/>
  <c r="W8" i="17"/>
  <c r="Z8" i="17" s="1"/>
  <c r="G48" i="17" s="1"/>
  <c r="W8" i="20"/>
  <c r="Z8" i="20" s="1"/>
  <c r="G48" i="20" s="1"/>
  <c r="AL14" i="17"/>
  <c r="AO14" i="17" s="1"/>
  <c r="G66" i="17" s="1"/>
  <c r="AL14" i="18"/>
  <c r="AO14" i="18" s="1"/>
  <c r="G66" i="18" s="1"/>
  <c r="AL14" i="21"/>
  <c r="AO14" i="21" s="1"/>
  <c r="G66" i="21" s="1"/>
  <c r="W20" i="17"/>
  <c r="W20" i="18"/>
  <c r="Z20" i="18" s="1"/>
  <c r="G56" i="18" s="1"/>
  <c r="W20" i="21"/>
  <c r="Z20" i="21" s="1"/>
  <c r="G56" i="21" s="1"/>
  <c r="AL14" i="20"/>
  <c r="AO14" i="20" s="1"/>
  <c r="G66" i="20" s="1"/>
  <c r="AL13" i="21"/>
  <c r="AO13" i="21" s="1"/>
  <c r="G65" i="21" s="1"/>
  <c r="Z8" i="9"/>
  <c r="Z18" i="9"/>
  <c r="Z22" i="9"/>
  <c r="Z26" i="9"/>
  <c r="Z8" i="10"/>
  <c r="Z18" i="10"/>
  <c r="Z22" i="10"/>
  <c r="Z26" i="10"/>
  <c r="AQ14" i="21"/>
  <c r="AT14" i="21" s="1"/>
  <c r="G70" i="21" s="1"/>
  <c r="AQ14" i="17"/>
  <c r="AT14" i="17" s="1"/>
  <c r="G70" i="17" s="1"/>
  <c r="AQ14" i="20"/>
  <c r="AT14" i="20" s="1"/>
  <c r="G70" i="20" s="1"/>
  <c r="D25" i="21"/>
  <c r="G25" i="21" s="1"/>
  <c r="G38" i="21" s="1"/>
  <c r="D25" i="17"/>
  <c r="G25" i="17" s="1"/>
  <c r="G38" i="17" s="1"/>
  <c r="D25" i="20"/>
  <c r="G25" i="20" s="1"/>
  <c r="G38" i="20" s="1"/>
  <c r="D25" i="18"/>
  <c r="G25" i="18" s="1"/>
  <c r="G38" i="18" s="1"/>
  <c r="Y19" i="17"/>
  <c r="Y14" i="17"/>
  <c r="AJ22" i="17"/>
  <c r="G58" i="17" s="1"/>
  <c r="Y20" i="17"/>
  <c r="Y13" i="20"/>
  <c r="Y14" i="21"/>
  <c r="Y15" i="21"/>
  <c r="Y13" i="17"/>
  <c r="Y14" i="18"/>
  <c r="K13" i="21"/>
  <c r="AA12" i="9" l="1"/>
  <c r="G75" i="9" s="1"/>
  <c r="AA13" i="9"/>
  <c r="G76" i="9" s="1"/>
  <c r="M12" i="7"/>
  <c r="G59" i="7" s="1"/>
  <c r="AA10" i="7"/>
  <c r="G74" i="7" s="1"/>
  <c r="AA13" i="6"/>
  <c r="G76" i="6" s="1"/>
  <c r="X22" i="7"/>
  <c r="X31" i="7"/>
  <c r="AA31" i="7" s="1"/>
  <c r="G88" i="7" s="1"/>
  <c r="X22" i="9"/>
  <c r="AA22" i="9" s="1"/>
  <c r="G81" i="9" s="1"/>
  <c r="C3" i="28"/>
  <c r="P19" i="3"/>
  <c r="X27" i="9"/>
  <c r="X31" i="9"/>
  <c r="AA31" i="9" s="1"/>
  <c r="G88" i="9" s="1"/>
  <c r="C2" i="28"/>
  <c r="P18" i="3"/>
  <c r="H26" i="7"/>
  <c r="X22" i="10"/>
  <c r="AA22" i="10" s="1"/>
  <c r="G81" i="10" s="1"/>
  <c r="X27" i="10"/>
  <c r="AA27" i="10" s="1"/>
  <c r="G85" i="10" s="1"/>
  <c r="X31" i="10"/>
  <c r="AA31" i="10" s="1"/>
  <c r="G88" i="10" s="1"/>
  <c r="O15" i="14"/>
  <c r="X22" i="6"/>
  <c r="AA22" i="6" s="1"/>
  <c r="G81" i="6" s="1"/>
  <c r="C4" i="28"/>
  <c r="P20" i="3"/>
  <c r="X27" i="6"/>
  <c r="G32" i="20"/>
  <c r="G55" i="10"/>
  <c r="G55" i="7"/>
  <c r="G53" i="6"/>
  <c r="G53" i="10"/>
  <c r="G54" i="7"/>
  <c r="AA10" i="6"/>
  <c r="G74" i="6" s="1"/>
  <c r="M26" i="6"/>
  <c r="AA28" i="10"/>
  <c r="G86" i="10" s="1"/>
  <c r="AA26" i="7"/>
  <c r="G84" i="7" s="1"/>
  <c r="E33" i="20"/>
  <c r="G55" i="9"/>
  <c r="G55" i="6"/>
  <c r="E53" i="6"/>
  <c r="G53" i="9"/>
  <c r="G54" i="6"/>
  <c r="Z14" i="21"/>
  <c r="G52" i="21" s="1"/>
  <c r="M22" i="9"/>
  <c r="AA23" i="9"/>
  <c r="G82" i="9" s="1"/>
  <c r="AA26" i="6"/>
  <c r="G84" i="6" s="1"/>
  <c r="G63" i="7"/>
  <c r="G54" i="10"/>
  <c r="Z15" i="21"/>
  <c r="G53" i="21" s="1"/>
  <c r="M18" i="7"/>
  <c r="G60" i="7" s="1"/>
  <c r="H26" i="10"/>
  <c r="AA28" i="7"/>
  <c r="G86" i="7" s="1"/>
  <c r="G32" i="21"/>
  <c r="G63" i="6"/>
  <c r="G63" i="10"/>
  <c r="G53" i="7"/>
  <c r="G54" i="9"/>
  <c r="Z15" i="18"/>
  <c r="G53" i="18" s="1"/>
  <c r="L13" i="21"/>
  <c r="G43" i="21" s="1"/>
  <c r="AA22" i="7"/>
  <c r="G81" i="7" s="1"/>
  <c r="AA28" i="6"/>
  <c r="G86" i="6" s="1"/>
  <c r="AA32" i="7"/>
  <c r="G89" i="7" s="1"/>
  <c r="E33" i="18"/>
  <c r="G59" i="18"/>
  <c r="E33" i="17"/>
  <c r="G59" i="17"/>
  <c r="E18" i="10"/>
  <c r="H18" i="10" s="1"/>
  <c r="E18" i="9"/>
  <c r="H18" i="9" s="1"/>
  <c r="S18" i="3"/>
  <c r="E18" i="6"/>
  <c r="H18" i="6" s="1"/>
  <c r="E18" i="7"/>
  <c r="H18" i="7" s="1"/>
  <c r="M30" i="9"/>
  <c r="AC22" i="10"/>
  <c r="AC22" i="9"/>
  <c r="AC22" i="7"/>
  <c r="AC22" i="6"/>
  <c r="M8" i="6"/>
  <c r="G58" i="6" s="1"/>
  <c r="AC26" i="10"/>
  <c r="AC26" i="9"/>
  <c r="AC26" i="7"/>
  <c r="AC26" i="6"/>
  <c r="M22" i="10"/>
  <c r="AA9" i="9"/>
  <c r="G73" i="9" s="1"/>
  <c r="AA24" i="6"/>
  <c r="G83" i="6" s="1"/>
  <c r="E30" i="9"/>
  <c r="H30" i="9" s="1"/>
  <c r="E30" i="10"/>
  <c r="H30" i="10" s="1"/>
  <c r="E30" i="7"/>
  <c r="H30" i="7" s="1"/>
  <c r="E30" i="6"/>
  <c r="H30" i="6" s="1"/>
  <c r="S30" i="3"/>
  <c r="W13" i="20"/>
  <c r="Z13" i="20" s="1"/>
  <c r="G51" i="20" s="1"/>
  <c r="W13" i="18"/>
  <c r="Z13" i="18" s="1"/>
  <c r="G51" i="18" s="1"/>
  <c r="W13" i="21"/>
  <c r="Z13" i="21" s="1"/>
  <c r="G51" i="21" s="1"/>
  <c r="W13" i="17"/>
  <c r="Z13" i="17" s="1"/>
  <c r="G51" i="17" s="1"/>
  <c r="M12" i="10"/>
  <c r="M18" i="6"/>
  <c r="G60" i="6" s="1"/>
  <c r="M8" i="7"/>
  <c r="M26" i="7"/>
  <c r="AA23" i="10"/>
  <c r="G82" i="10" s="1"/>
  <c r="AA9" i="10"/>
  <c r="G73" i="10" s="1"/>
  <c r="AA8" i="10"/>
  <c r="G72" i="10" s="1"/>
  <c r="AA28" i="9"/>
  <c r="G86" i="9" s="1"/>
  <c r="AA27" i="9"/>
  <c r="G85" i="9" s="1"/>
  <c r="AA32" i="9"/>
  <c r="G89" i="9" s="1"/>
  <c r="AA24" i="7"/>
  <c r="G83" i="7" s="1"/>
  <c r="Z14" i="18"/>
  <c r="G52" i="18" s="1"/>
  <c r="X5" i="10"/>
  <c r="AA5" i="10" s="1"/>
  <c r="X5" i="9"/>
  <c r="AA5" i="9" s="1"/>
  <c r="X5" i="6"/>
  <c r="AA5" i="6" s="1"/>
  <c r="G70" i="6" s="1"/>
  <c r="X5" i="7"/>
  <c r="AA5" i="7" s="1"/>
  <c r="M18" i="9"/>
  <c r="G60" i="9" s="1"/>
  <c r="M8" i="9"/>
  <c r="AA10" i="9"/>
  <c r="G74" i="9" s="1"/>
  <c r="M26" i="10"/>
  <c r="AA23" i="6"/>
  <c r="G82" i="6" s="1"/>
  <c r="AA30" i="6"/>
  <c r="G87" i="6" s="1"/>
  <c r="AA9" i="7"/>
  <c r="G73" i="7" s="1"/>
  <c r="AA26" i="9"/>
  <c r="G84" i="9" s="1"/>
  <c r="AA24" i="9"/>
  <c r="AL15" i="17"/>
  <c r="AO15" i="17" s="1"/>
  <c r="AL15" i="18"/>
  <c r="AO15" i="18" s="1"/>
  <c r="G67" i="18" s="1"/>
  <c r="AL15" i="21"/>
  <c r="AO15" i="21" s="1"/>
  <c r="AL15" i="20"/>
  <c r="AO15" i="20" s="1"/>
  <c r="G67" i="20" s="1"/>
  <c r="W18" i="21"/>
  <c r="Z18" i="21" s="1"/>
  <c r="G54" i="21" s="1"/>
  <c r="W18" i="17"/>
  <c r="Z18" i="17" s="1"/>
  <c r="W18" i="20"/>
  <c r="Z18" i="20" s="1"/>
  <c r="G54" i="20" s="1"/>
  <c r="W18" i="18"/>
  <c r="Z18" i="18" s="1"/>
  <c r="AC8" i="10"/>
  <c r="AC8" i="9"/>
  <c r="AC8" i="6"/>
  <c r="AC8" i="7"/>
  <c r="M18" i="10"/>
  <c r="G60" i="10" s="1"/>
  <c r="M8" i="10"/>
  <c r="G58" i="10" s="1"/>
  <c r="AA10" i="10"/>
  <c r="G74" i="10" s="1"/>
  <c r="M22" i="6"/>
  <c r="AA8" i="9"/>
  <c r="G72" i="9" s="1"/>
  <c r="AA26" i="10"/>
  <c r="G84" i="10" s="1"/>
  <c r="AA24" i="10"/>
  <c r="G83" i="10" s="1"/>
  <c r="M26" i="9"/>
  <c r="Z20" i="17"/>
  <c r="G56" i="17" s="1"/>
  <c r="W19" i="21"/>
  <c r="Z19" i="21" s="1"/>
  <c r="G55" i="21" s="1"/>
  <c r="W19" i="17"/>
  <c r="Z19" i="17" s="1"/>
  <c r="G55" i="17" s="1"/>
  <c r="W19" i="20"/>
  <c r="Z19" i="20" s="1"/>
  <c r="W19" i="18"/>
  <c r="Z19" i="18" s="1"/>
  <c r="G55" i="18" s="1"/>
  <c r="E31" i="20"/>
  <c r="M22" i="7"/>
  <c r="AA30" i="7"/>
  <c r="G87" i="7" s="1"/>
  <c r="AA9" i="6"/>
  <c r="G73" i="6" s="1"/>
  <c r="AA8" i="6"/>
  <c r="G72" i="6" s="1"/>
  <c r="AA27" i="6"/>
  <c r="G85" i="6" s="1"/>
  <c r="AA14" i="10"/>
  <c r="G77" i="10" s="1"/>
  <c r="AQ6" i="18"/>
  <c r="AT6" i="18" s="1"/>
  <c r="G68" i="18" s="1"/>
  <c r="AQ6" i="21"/>
  <c r="AT6" i="21" s="1"/>
  <c r="AQ6" i="17"/>
  <c r="AT6" i="17" s="1"/>
  <c r="AQ6" i="20"/>
  <c r="AT6" i="20" s="1"/>
  <c r="Z14" i="17"/>
  <c r="G52" i="17" s="1"/>
  <c r="H26" i="6"/>
  <c r="AA23" i="7"/>
  <c r="AA8" i="7"/>
  <c r="G72" i="7" s="1"/>
  <c r="AA27" i="7"/>
  <c r="AA32" i="6"/>
  <c r="G89" i="6" s="1"/>
  <c r="AA14" i="7"/>
  <c r="E4" i="28" l="1"/>
  <c r="F4" i="28"/>
  <c r="D4" i="28"/>
  <c r="G4" i="28"/>
  <c r="X19" i="6"/>
  <c r="AA19" i="6" s="1"/>
  <c r="G79" i="6" s="1"/>
  <c r="X19" i="7"/>
  <c r="AA19" i="7" s="1"/>
  <c r="G79" i="7" s="1"/>
  <c r="X19" i="9"/>
  <c r="AA19" i="9" s="1"/>
  <c r="G79" i="9" s="1"/>
  <c r="X19" i="10"/>
  <c r="AA19" i="10" s="1"/>
  <c r="G79" i="10" s="1"/>
  <c r="F3" i="28"/>
  <c r="D3" i="28"/>
  <c r="E3" i="28"/>
  <c r="G3" i="28"/>
  <c r="X18" i="7"/>
  <c r="AA18" i="7" s="1"/>
  <c r="G78" i="7" s="1"/>
  <c r="X18" i="6"/>
  <c r="AA18" i="6" s="1"/>
  <c r="G78" i="6" s="1"/>
  <c r="X18" i="9"/>
  <c r="AA18" i="9" s="1"/>
  <c r="G78" i="9" s="1"/>
  <c r="X18" i="10"/>
  <c r="AA18" i="10" s="1"/>
  <c r="G78" i="10" s="1"/>
  <c r="X20" i="10"/>
  <c r="AA20" i="10" s="1"/>
  <c r="G80" i="10" s="1"/>
  <c r="X20" i="9"/>
  <c r="AA20" i="9" s="1"/>
  <c r="G80" i="9" s="1"/>
  <c r="X20" i="7"/>
  <c r="AA20" i="7" s="1"/>
  <c r="G80" i="7" s="1"/>
  <c r="X20" i="6"/>
  <c r="AA20" i="6" s="1"/>
  <c r="G80" i="6" s="1"/>
  <c r="D2" i="28"/>
  <c r="F2" i="28"/>
  <c r="E2" i="28"/>
  <c r="G2" i="28"/>
  <c r="G85" i="7"/>
  <c r="G82" i="7"/>
  <c r="G68" i="21"/>
  <c r="G61" i="7"/>
  <c r="G62" i="9"/>
  <c r="G61" i="6"/>
  <c r="G62" i="10"/>
  <c r="G70" i="10"/>
  <c r="G56" i="7"/>
  <c r="E30" i="20"/>
  <c r="G68" i="20"/>
  <c r="E32" i="17"/>
  <c r="G54" i="17"/>
  <c r="G58" i="9"/>
  <c r="G70" i="9"/>
  <c r="G59" i="10"/>
  <c r="G61" i="10"/>
  <c r="G56" i="6"/>
  <c r="G56" i="10"/>
  <c r="E52" i="6"/>
  <c r="G77" i="7"/>
  <c r="E32" i="18"/>
  <c r="G54" i="18"/>
  <c r="G70" i="7"/>
  <c r="G62" i="7"/>
  <c r="G63" i="9"/>
  <c r="G56" i="9"/>
  <c r="G62" i="6"/>
  <c r="I16" i="28"/>
  <c r="B11" i="28" s="1"/>
  <c r="E30" i="17"/>
  <c r="G68" i="17"/>
  <c r="E32" i="20"/>
  <c r="G55" i="20"/>
  <c r="G83" i="9"/>
  <c r="G58" i="7"/>
  <c r="G61" i="9"/>
  <c r="E30" i="18"/>
  <c r="B31" i="18"/>
  <c r="B31" i="21"/>
  <c r="B31" i="20"/>
  <c r="G67" i="21"/>
  <c r="E31" i="17"/>
  <c r="G67" i="17"/>
  <c r="G71" i="18"/>
  <c r="H67" i="18" s="1"/>
  <c r="G71" i="20"/>
  <c r="E31" i="18"/>
  <c r="AC18" i="10"/>
  <c r="AC18" i="9"/>
  <c r="AC18" i="7"/>
  <c r="AC18" i="6"/>
  <c r="AC30" i="10"/>
  <c r="AC30" i="9"/>
  <c r="AC30" i="7"/>
  <c r="AC30" i="6"/>
  <c r="G90" i="6" l="1"/>
  <c r="H85" i="6" s="1"/>
  <c r="I20" i="28"/>
  <c r="B13" i="28" s="1"/>
  <c r="C14" i="28" s="1"/>
  <c r="G90" i="10"/>
  <c r="H54" i="10" s="1"/>
  <c r="I14" i="28"/>
  <c r="B9" i="28" s="1"/>
  <c r="F10" i="28" s="1"/>
  <c r="G90" i="9"/>
  <c r="H57" i="9" s="1"/>
  <c r="I10" i="28"/>
  <c r="B7" i="28" s="1"/>
  <c r="D8" i="28" s="1"/>
  <c r="E54" i="6"/>
  <c r="D12" i="28"/>
  <c r="F12" i="28"/>
  <c r="E12" i="28"/>
  <c r="C12" i="28"/>
  <c r="H83" i="6"/>
  <c r="H89" i="6"/>
  <c r="E5" i="24" s="1"/>
  <c r="H55" i="6"/>
  <c r="H67" i="6"/>
  <c r="H77" i="6"/>
  <c r="H69" i="6"/>
  <c r="H57" i="6"/>
  <c r="H88" i="6"/>
  <c r="H75" i="6"/>
  <c r="G90" i="7"/>
  <c r="H56" i="7" s="1"/>
  <c r="H82" i="6"/>
  <c r="H80" i="6"/>
  <c r="E3" i="24" s="1"/>
  <c r="H84" i="6"/>
  <c r="H87" i="6"/>
  <c r="G71" i="17"/>
  <c r="H67" i="17" s="1"/>
  <c r="H46" i="20"/>
  <c r="H44" i="20"/>
  <c r="G8" i="24" s="1"/>
  <c r="H45" i="20"/>
  <c r="H57" i="20"/>
  <c r="H41" i="20"/>
  <c r="H54" i="20"/>
  <c r="H35" i="20"/>
  <c r="H52" i="20"/>
  <c r="H49" i="20"/>
  <c r="H34" i="20"/>
  <c r="H56" i="20"/>
  <c r="H62" i="20"/>
  <c r="H43" i="20"/>
  <c r="H60" i="20"/>
  <c r="H69" i="20"/>
  <c r="H42" i="20"/>
  <c r="H47" i="20"/>
  <c r="H70" i="20"/>
  <c r="H51" i="20"/>
  <c r="H68" i="20"/>
  <c r="H40" i="20"/>
  <c r="H50" i="20"/>
  <c r="H39" i="20"/>
  <c r="H59" i="20"/>
  <c r="H48" i="20"/>
  <c r="H58" i="20"/>
  <c r="H61" i="20"/>
  <c r="H55" i="20"/>
  <c r="H53" i="20"/>
  <c r="H64" i="20"/>
  <c r="H32" i="20"/>
  <c r="H38" i="20"/>
  <c r="H63" i="20"/>
  <c r="H36" i="20"/>
  <c r="H37" i="20"/>
  <c r="H33" i="20"/>
  <c r="H65" i="20"/>
  <c r="H66" i="20"/>
  <c r="H67" i="20"/>
  <c r="G71" i="21"/>
  <c r="H67" i="21" s="1"/>
  <c r="H39" i="18"/>
  <c r="H64" i="18"/>
  <c r="H58" i="18"/>
  <c r="H46" i="18"/>
  <c r="H47" i="18"/>
  <c r="H60" i="18"/>
  <c r="H41" i="18"/>
  <c r="H55" i="18"/>
  <c r="H56" i="18"/>
  <c r="H49" i="18"/>
  <c r="H35" i="18"/>
  <c r="H62" i="18"/>
  <c r="H53" i="18"/>
  <c r="H54" i="18"/>
  <c r="H63" i="18"/>
  <c r="H52" i="18"/>
  <c r="H57" i="18"/>
  <c r="H59" i="18"/>
  <c r="H70" i="18"/>
  <c r="H40" i="18"/>
  <c r="H48" i="18"/>
  <c r="H43" i="18"/>
  <c r="H33" i="18"/>
  <c r="H37" i="18"/>
  <c r="H42" i="18"/>
  <c r="H45" i="18"/>
  <c r="H44" i="18"/>
  <c r="G6" i="24" s="1"/>
  <c r="H34" i="18"/>
  <c r="H51" i="18"/>
  <c r="H69" i="18"/>
  <c r="H61" i="18"/>
  <c r="H68" i="18"/>
  <c r="H36" i="18"/>
  <c r="H50" i="18"/>
  <c r="H38" i="18"/>
  <c r="H32" i="18"/>
  <c r="H66" i="18"/>
  <c r="H65" i="18"/>
  <c r="H60" i="10" l="1"/>
  <c r="E12" i="24" s="1"/>
  <c r="H70" i="10"/>
  <c r="H88" i="10"/>
  <c r="H89" i="10"/>
  <c r="E13" i="24" s="1"/>
  <c r="H82" i="10"/>
  <c r="H69" i="10"/>
  <c r="H56" i="10"/>
  <c r="H71" i="10"/>
  <c r="H66" i="10"/>
  <c r="H75" i="10"/>
  <c r="H76" i="10"/>
  <c r="H62" i="10"/>
  <c r="H65" i="10"/>
  <c r="H68" i="10"/>
  <c r="H59" i="10"/>
  <c r="H79" i="10"/>
  <c r="H82" i="9"/>
  <c r="H76" i="9"/>
  <c r="H56" i="9"/>
  <c r="H59" i="9"/>
  <c r="H74" i="9"/>
  <c r="H70" i="9"/>
  <c r="H73" i="9"/>
  <c r="H55" i="9"/>
  <c r="C10" i="28"/>
  <c r="D10" i="28"/>
  <c r="E10" i="28"/>
  <c r="H54" i="6"/>
  <c r="H65" i="6"/>
  <c r="H64" i="6"/>
  <c r="H70" i="6"/>
  <c r="H59" i="6"/>
  <c r="H79" i="6"/>
  <c r="H56" i="6"/>
  <c r="H76" i="6"/>
  <c r="H68" i="6"/>
  <c r="H74" i="6"/>
  <c r="H71" i="6"/>
  <c r="H61" i="6"/>
  <c r="H58" i="6"/>
  <c r="H62" i="6"/>
  <c r="H81" i="6"/>
  <c r="H66" i="6"/>
  <c r="H73" i="6"/>
  <c r="H60" i="6"/>
  <c r="E4" i="24" s="1"/>
  <c r="H78" i="6"/>
  <c r="H53" i="6"/>
  <c r="H63" i="6"/>
  <c r="H86" i="6"/>
  <c r="E8" i="28"/>
  <c r="H72" i="6"/>
  <c r="H60" i="9"/>
  <c r="E9" i="24" s="1"/>
  <c r="H89" i="9"/>
  <c r="E10" i="24" s="1"/>
  <c r="H65" i="9"/>
  <c r="H62" i="9"/>
  <c r="H83" i="9"/>
  <c r="H72" i="9"/>
  <c r="H54" i="9"/>
  <c r="H64" i="9"/>
  <c r="H61" i="9"/>
  <c r="H86" i="9"/>
  <c r="H69" i="9"/>
  <c r="H67" i="9"/>
  <c r="H84" i="9"/>
  <c r="H88" i="9"/>
  <c r="H71" i="9"/>
  <c r="H80" i="9"/>
  <c r="E8" i="24" s="1"/>
  <c r="H79" i="9"/>
  <c r="H77" i="9"/>
  <c r="H63" i="9"/>
  <c r="H58" i="9"/>
  <c r="H78" i="9"/>
  <c r="H53" i="9"/>
  <c r="H66" i="9"/>
  <c r="H63" i="10"/>
  <c r="H77" i="10"/>
  <c r="H86" i="10"/>
  <c r="H73" i="10"/>
  <c r="H80" i="10"/>
  <c r="E11" i="24" s="1"/>
  <c r="H67" i="10"/>
  <c r="H83" i="10"/>
  <c r="H84" i="10"/>
  <c r="H87" i="10"/>
  <c r="F14" i="28"/>
  <c r="H78" i="10"/>
  <c r="H61" i="10"/>
  <c r="H57" i="10"/>
  <c r="H64" i="10"/>
  <c r="H81" i="10"/>
  <c r="H53" i="10"/>
  <c r="F8" i="28"/>
  <c r="D14" i="28"/>
  <c r="E14" i="28"/>
  <c r="H81" i="9"/>
  <c r="H85" i="9"/>
  <c r="H75" i="9"/>
  <c r="H87" i="9"/>
  <c r="H72" i="10"/>
  <c r="H74" i="10"/>
  <c r="H55" i="10"/>
  <c r="H85" i="10"/>
  <c r="C8" i="28"/>
  <c r="H58" i="10"/>
  <c r="H68" i="9"/>
  <c r="H82" i="7"/>
  <c r="H77" i="7"/>
  <c r="H58" i="7"/>
  <c r="H85" i="7"/>
  <c r="H61" i="7"/>
  <c r="H70" i="7"/>
  <c r="H62" i="7"/>
  <c r="H75" i="7"/>
  <c r="H64" i="7"/>
  <c r="H88" i="7"/>
  <c r="H59" i="7"/>
  <c r="H76" i="7"/>
  <c r="H65" i="7"/>
  <c r="H67" i="7"/>
  <c r="H66" i="7"/>
  <c r="H74" i="7"/>
  <c r="H69" i="7"/>
  <c r="H68" i="7"/>
  <c r="H57" i="7"/>
  <c r="H71" i="7"/>
  <c r="H73" i="7"/>
  <c r="H86" i="7"/>
  <c r="H54" i="7"/>
  <c r="H60" i="7"/>
  <c r="E6" i="24" s="1"/>
  <c r="H78" i="7"/>
  <c r="H80" i="7"/>
  <c r="E7" i="24" s="1"/>
  <c r="H89" i="7"/>
  <c r="H72" i="7"/>
  <c r="H63" i="7"/>
  <c r="H83" i="7"/>
  <c r="H84" i="7"/>
  <c r="H55" i="7"/>
  <c r="H79" i="7"/>
  <c r="H87" i="7"/>
  <c r="H81" i="7"/>
  <c r="H53" i="7"/>
  <c r="H71" i="20"/>
  <c r="H71" i="18"/>
  <c r="H55" i="21"/>
  <c r="H61" i="21"/>
  <c r="H37" i="21"/>
  <c r="H35" i="21"/>
  <c r="H69" i="21"/>
  <c r="H43" i="21"/>
  <c r="H63" i="21"/>
  <c r="H51" i="21"/>
  <c r="H53" i="21"/>
  <c r="H59" i="21"/>
  <c r="H49" i="21"/>
  <c r="H33" i="21"/>
  <c r="H68" i="21"/>
  <c r="H70" i="21"/>
  <c r="H38" i="21"/>
  <c r="H39" i="21"/>
  <c r="H64" i="21"/>
  <c r="H42" i="21"/>
  <c r="H60" i="21"/>
  <c r="H34" i="21"/>
  <c r="H57" i="21"/>
  <c r="H52" i="21"/>
  <c r="H62" i="21"/>
  <c r="H56" i="21"/>
  <c r="H45" i="21"/>
  <c r="H48" i="21"/>
  <c r="H58" i="21"/>
  <c r="H36" i="21"/>
  <c r="H40" i="21"/>
  <c r="H54" i="21"/>
  <c r="H41" i="21"/>
  <c r="H46" i="21"/>
  <c r="H44" i="21"/>
  <c r="G11" i="24" s="1"/>
  <c r="H32" i="21"/>
  <c r="H50" i="21"/>
  <c r="H47" i="21"/>
  <c r="H65" i="21"/>
  <c r="H66" i="21"/>
  <c r="H65" i="17"/>
  <c r="H45" i="17"/>
  <c r="H37" i="17"/>
  <c r="H43" i="17"/>
  <c r="H51" i="17"/>
  <c r="H57" i="17"/>
  <c r="H54" i="17"/>
  <c r="H36" i="17"/>
  <c r="H63" i="17"/>
  <c r="H41" i="17"/>
  <c r="H56" i="17"/>
  <c r="H47" i="17"/>
  <c r="H53" i="17"/>
  <c r="H42" i="17"/>
  <c r="H32" i="17"/>
  <c r="H69" i="17"/>
  <c r="H39" i="17"/>
  <c r="H62" i="17"/>
  <c r="H64" i="17"/>
  <c r="H33" i="17"/>
  <c r="H68" i="17"/>
  <c r="H35" i="17"/>
  <c r="H34" i="17"/>
  <c r="H58" i="17"/>
  <c r="H60" i="17"/>
  <c r="H46" i="17"/>
  <c r="H55" i="17"/>
  <c r="H70" i="17"/>
  <c r="H61" i="17"/>
  <c r="H48" i="17"/>
  <c r="H59" i="17"/>
  <c r="H38" i="17"/>
  <c r="H52" i="17"/>
  <c r="H50" i="17"/>
  <c r="H49" i="17"/>
  <c r="H44" i="17"/>
  <c r="G3" i="24" s="1"/>
  <c r="H40" i="17"/>
  <c r="H66" i="17"/>
  <c r="H90" i="6" l="1"/>
  <c r="H90" i="10"/>
  <c r="H90" i="9"/>
  <c r="H90" i="7"/>
  <c r="H71" i="21"/>
  <c r="H71" i="17"/>
</calcChain>
</file>

<file path=xl/sharedStrings.xml><?xml version="1.0" encoding="utf-8"?>
<sst xmlns="http://schemas.openxmlformats.org/spreadsheetml/2006/main" count="2376" uniqueCount="285">
  <si>
    <t>No</t>
  </si>
  <si>
    <t>Unit Proses</t>
  </si>
  <si>
    <t>Nama Alat</t>
  </si>
  <si>
    <t>Input</t>
  </si>
  <si>
    <t>Output</t>
  </si>
  <si>
    <t>Keterangan</t>
  </si>
  <si>
    <t>Bahan Baku</t>
  </si>
  <si>
    <t>Jumlah</t>
  </si>
  <si>
    <t>Satuan</t>
  </si>
  <si>
    <t>Bahan bakar/ energi listrik</t>
  </si>
  <si>
    <t>Bahan Kimia/Peledak</t>
  </si>
  <si>
    <t>Air</t>
  </si>
  <si>
    <t>Emisi yang Dihasilkan</t>
  </si>
  <si>
    <t>Produk yang dihasilkan</t>
  </si>
  <si>
    <t>Limbah B3</t>
  </si>
  <si>
    <t>Limbah Cair</t>
  </si>
  <si>
    <t>Limbah Padat Domestik</t>
  </si>
  <si>
    <t>jumlah</t>
  </si>
  <si>
    <t>Land Clearing (Hulu/Cradle)</t>
  </si>
  <si>
    <t>Excavator</t>
  </si>
  <si>
    <t>Lahan</t>
  </si>
  <si>
    <t>Ha</t>
  </si>
  <si>
    <t>Solar</t>
  </si>
  <si>
    <t>L</t>
  </si>
  <si>
    <t>SOx</t>
  </si>
  <si>
    <t>tonSOx</t>
  </si>
  <si>
    <t>Lahan yang dibuka</t>
  </si>
  <si>
    <t>ha</t>
  </si>
  <si>
    <t>Dump truck</t>
  </si>
  <si>
    <t>NOx</t>
  </si>
  <si>
    <t>tonNOx</t>
  </si>
  <si>
    <t>CO2</t>
  </si>
  <si>
    <t>tonCO2</t>
  </si>
  <si>
    <t>Soil removal</t>
  </si>
  <si>
    <t>Soil</t>
  </si>
  <si>
    <t>m3</t>
  </si>
  <si>
    <t>Grader</t>
  </si>
  <si>
    <t>Drilling n Blasting</t>
  </si>
  <si>
    <t>Drilling machine</t>
  </si>
  <si>
    <t>Batuan penutup (compact)</t>
  </si>
  <si>
    <t>BCM</t>
  </si>
  <si>
    <t>Detonator</t>
  </si>
  <si>
    <t>kg</t>
  </si>
  <si>
    <t>Batuan penutup (blasted)</t>
  </si>
  <si>
    <t>Boster 400 gr</t>
  </si>
  <si>
    <t>Emulsion</t>
  </si>
  <si>
    <t>AN</t>
  </si>
  <si>
    <t>Leadline 762</t>
  </si>
  <si>
    <t>meter</t>
  </si>
  <si>
    <t>Material Removal (OB)</t>
  </si>
  <si>
    <t>OB</t>
  </si>
  <si>
    <t>Hauler</t>
  </si>
  <si>
    <t>Coal Getting</t>
  </si>
  <si>
    <t>Excavator/Backhoe</t>
  </si>
  <si>
    <t>Coal</t>
  </si>
  <si>
    <t>ton</t>
  </si>
  <si>
    <t>Coal Hauling</t>
  </si>
  <si>
    <t>Dozer</t>
  </si>
  <si>
    <t>Coal Crushing (Hilir/Grave)</t>
  </si>
  <si>
    <t>Coal crusher</t>
  </si>
  <si>
    <t>Metal catcher</t>
  </si>
  <si>
    <t>Metal detector</t>
  </si>
  <si>
    <t>Crane truck</t>
  </si>
  <si>
    <t>Conveyor belt</t>
  </si>
  <si>
    <t>Loading truck</t>
  </si>
  <si>
    <t>TOTAL PRODUK</t>
  </si>
  <si>
    <t>F. E. Penggunaan Bahan Bakar Diesel/Solar</t>
  </si>
  <si>
    <t>Parameter</t>
  </si>
  <si>
    <t>Nilai</t>
  </si>
  <si>
    <t>Sumber</t>
  </si>
  <si>
    <t>Sox</t>
  </si>
  <si>
    <t>Ton Sox/TJ</t>
  </si>
  <si>
    <t>Permen LH No. 12 Tahun 2012</t>
  </si>
  <si>
    <t>Nox</t>
  </si>
  <si>
    <t>Ton Nox/TJ</t>
  </si>
  <si>
    <t>Partikulat</t>
  </si>
  <si>
    <t>Ton Partikulat/TJ</t>
  </si>
  <si>
    <t>Ton CO2/TJ</t>
  </si>
  <si>
    <t>Pedoman Penyelenggaraan Inventarisasi GRK Nasional KLHK</t>
  </si>
  <si>
    <t>CH4</t>
  </si>
  <si>
    <t>Ton CH4/TJ</t>
  </si>
  <si>
    <t>N2O</t>
  </si>
  <si>
    <t>Ton N2O/TJ</t>
  </si>
  <si>
    <t>Nilai Kalor Solar</t>
  </si>
  <si>
    <t>TJ/liter</t>
  </si>
  <si>
    <t>CF</t>
  </si>
  <si>
    <t>Nilai Karakterisasi</t>
  </si>
  <si>
    <t>Land Clearing</t>
  </si>
  <si>
    <t>Soil Removal</t>
  </si>
  <si>
    <t>Drilling &amp; Blasting</t>
  </si>
  <si>
    <t>Material Removal</t>
  </si>
  <si>
    <t>Coal Crushing</t>
  </si>
  <si>
    <t>TOTAL GWP</t>
  </si>
  <si>
    <t>kgCO2eq/ton</t>
  </si>
  <si>
    <t>TOTAL ODP</t>
  </si>
  <si>
    <t>kgCFC-11eq/ton</t>
  </si>
  <si>
    <t>TOTAL AP</t>
  </si>
  <si>
    <t>kgSO2eq/ton</t>
  </si>
  <si>
    <t>TOTAL EP</t>
  </si>
  <si>
    <t>kgPO4eq/ton</t>
  </si>
  <si>
    <t>Reklamasi</t>
  </si>
  <si>
    <t>WWTP</t>
  </si>
  <si>
    <t>Utility Mining</t>
  </si>
  <si>
    <t>Workshop</t>
  </si>
  <si>
    <t>Proses</t>
  </si>
  <si>
    <t>Bahan Kimia</t>
  </si>
  <si>
    <t>Backfilling</t>
  </si>
  <si>
    <t>Tanah</t>
  </si>
  <si>
    <t>Nursery</t>
  </si>
  <si>
    <t>Bibit</t>
  </si>
  <si>
    <t>unit</t>
  </si>
  <si>
    <t>Tanaman</t>
  </si>
  <si>
    <t>Plastik</t>
  </si>
  <si>
    <t>Kompos</t>
  </si>
  <si>
    <t>Mobilisasi tanaman</t>
  </si>
  <si>
    <t>Kapur</t>
  </si>
  <si>
    <t>Air buangan</t>
  </si>
  <si>
    <t>Kemasan bekas kapur</t>
  </si>
  <si>
    <t>Tawas</t>
  </si>
  <si>
    <t>TSS</t>
  </si>
  <si>
    <t>mg</t>
  </si>
  <si>
    <t>Kemasan bekas tawas</t>
  </si>
  <si>
    <t>Fe</t>
  </si>
  <si>
    <t>Mn</t>
  </si>
  <si>
    <t>Oli pelumas</t>
  </si>
  <si>
    <t>Accu</t>
  </si>
  <si>
    <t>Filter</t>
  </si>
  <si>
    <t>Hose</t>
  </si>
  <si>
    <t>Majun</t>
  </si>
  <si>
    <t>Material</t>
  </si>
  <si>
    <t>Grease</t>
  </si>
  <si>
    <t>Nilai Karakteristik</t>
  </si>
  <si>
    <t>Characterisation Factor</t>
  </si>
  <si>
    <t>Sumber Data</t>
  </si>
  <si>
    <t>Jenis</t>
  </si>
  <si>
    <t>Abiotic Depletion (kg Sb eq)</t>
  </si>
  <si>
    <t>Abiotic Depletion - Fossil Fuels (MJ)</t>
  </si>
  <si>
    <t>GWP (kgCO2eq)</t>
  </si>
  <si>
    <t>ODP (kgCFC-11eq)</t>
  </si>
  <si>
    <t>Human Toxicity (kg 1.4-DBeq)</t>
  </si>
  <si>
    <t>Acidification (kgSO2eq)</t>
  </si>
  <si>
    <t>Eutrophication (kgPO4eq)</t>
  </si>
  <si>
    <t>Photochemical Oxidation (Optional) (kgC2H4eq)</t>
  </si>
  <si>
    <t>Land Use Change</t>
  </si>
  <si>
    <t>Soil, Contaminated {GLO} market for Cut Off U CML IA Baseline</t>
  </si>
  <si>
    <t>Overburden (OB)</t>
  </si>
  <si>
    <t>Non-sulfidic overburden, off-site {GLO} | market | Cut Off U CML IA Baseline</t>
  </si>
  <si>
    <t>Coal (bituminous)</t>
  </si>
  <si>
    <t>Bituminous coal, at mine/US</t>
  </si>
  <si>
    <t>Gasoil (solar/diesel)</t>
  </si>
  <si>
    <t>Diesel {RoW} market for Cut-off U</t>
  </si>
  <si>
    <t>Carbon dioxide {RoW} | prod. | U CML IA Baseline</t>
  </si>
  <si>
    <t>Electricity</t>
  </si>
  <si>
    <t>CML IA Baseline</t>
  </si>
  <si>
    <t>Water</t>
  </si>
  <si>
    <t>Tap Water {RoW} | market | U CML IA Baseline</t>
  </si>
  <si>
    <t>Oli</t>
  </si>
  <si>
    <t>Air limbah (umum)</t>
  </si>
  <si>
    <t>Wastewater average {RoW} | market | U CML IA Baseline</t>
  </si>
  <si>
    <t>Majun bekas</t>
  </si>
  <si>
    <t>Textile,knit cotton {GLO} | market for Alloc Def U, APOS</t>
  </si>
  <si>
    <t>Sampah organik</t>
  </si>
  <si>
    <t>Municipal solid waste {RoW} | market | U CML IA Baseline</t>
  </si>
  <si>
    <t>Sampah anorganik kertas 1</t>
  </si>
  <si>
    <t>Waste paper, unsorted {RoW} | market | U CML IA Baseline</t>
  </si>
  <si>
    <t>Sampah anorganik kertas 2</t>
  </si>
  <si>
    <t>Waste paper, sorted {RoW} | market | U CML IA Baseline</t>
  </si>
  <si>
    <t>Lampu TL</t>
  </si>
  <si>
    <t>Used fluorescent lamp {GLO} | market | U CML IA Baseline</t>
  </si>
  <si>
    <t>Conveyor belt {GLO} | market | U CML IA Baseline</t>
  </si>
  <si>
    <t>Besi bekas (unsorted)</t>
  </si>
  <si>
    <t>Iron scrap,unsorted {GLO} | market | U CML IA Baseline</t>
  </si>
  <si>
    <t>Lumpur</t>
  </si>
  <si>
    <t>Raw sewage sludge {RoW} | market | U CML IA Baseline</t>
  </si>
  <si>
    <t>SOx Retained, flue gas desulfuritation {GLO} market for Cut Off U</t>
  </si>
  <si>
    <t>NOx retained {GLO} market for | Cut Off U</t>
  </si>
  <si>
    <t>Sampah anorganik plastik</t>
  </si>
  <si>
    <t>Waste plastic, mixture {RoW} | market | U CML IA Baseline</t>
  </si>
  <si>
    <t>Electronics scrap</t>
  </si>
  <si>
    <t>Electronics scrap {GLO} | market | U CML IA Baseline</t>
  </si>
  <si>
    <t>kemasan kapur/tawas</t>
  </si>
  <si>
    <t>waste polyethylene {GLO} | market for</t>
  </si>
  <si>
    <t>Majun bersih</t>
  </si>
  <si>
    <t>filter baru</t>
  </si>
  <si>
    <t>Cast Iron {GLO} Market</t>
  </si>
  <si>
    <t>Filter bekas</t>
  </si>
  <si>
    <t>Waste bulk iron, excluding reinforcement {GLO} | market for | APOS U</t>
  </si>
  <si>
    <t>Hose baru</t>
  </si>
  <si>
    <t>Polyurethane {ROW} market for</t>
  </si>
  <si>
    <t>Hose bekas</t>
  </si>
  <si>
    <t>Waste polyurethane {ROW}</t>
  </si>
  <si>
    <t>tawas</t>
  </si>
  <si>
    <t>aluminium sulfate, powder {ROW} market for</t>
  </si>
  <si>
    <t>Oli (bersih/input)</t>
  </si>
  <si>
    <t>Lubricating oil {RoW} | market | U CML IA Baseline</t>
  </si>
  <si>
    <t>Oli bekas</t>
  </si>
  <si>
    <t>Waste mineral oil {RoW}Itreatment of, hazardous waste incinerationICut-off,U:Method CML-IA baseline</t>
  </si>
  <si>
    <t>GWP</t>
  </si>
  <si>
    <t>ODP</t>
  </si>
  <si>
    <t>Ha/ton</t>
  </si>
  <si>
    <t>m3/ton</t>
  </si>
  <si>
    <t>BCM/ton</t>
  </si>
  <si>
    <t>ton/ton</t>
  </si>
  <si>
    <t>kg/ton</t>
  </si>
  <si>
    <t>meter/ton</t>
  </si>
  <si>
    <t>kgSOx/ton</t>
  </si>
  <si>
    <t>kgNOx/ton</t>
  </si>
  <si>
    <t>kgCO2/ton</t>
  </si>
  <si>
    <t>ha/ton</t>
  </si>
  <si>
    <t>unit/ton</t>
  </si>
  <si>
    <t>Konsep Pareto Rule</t>
  </si>
  <si>
    <t>Persentase</t>
  </si>
  <si>
    <t>Sumber Bahan</t>
  </si>
  <si>
    <t>Indikator</t>
  </si>
  <si>
    <t>Produk BBM</t>
  </si>
  <si>
    <t>Utilitas</t>
  </si>
  <si>
    <t>Inventori/ Substansi</t>
  </si>
  <si>
    <t>% Kontribusi pada Total Dampak</t>
  </si>
  <si>
    <t>Kategori Potensi Dampak</t>
  </si>
  <si>
    <t>Potensi pemanasan global</t>
  </si>
  <si>
    <r>
      <t>kgCO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ek</t>
    </r>
  </si>
  <si>
    <t>Potensi penipisan ozon</t>
  </si>
  <si>
    <t>kgCFC-11ek</t>
  </si>
  <si>
    <t>Potensi hujan asam</t>
  </si>
  <si>
    <r>
      <t>kgSO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ek</t>
    </r>
  </si>
  <si>
    <t>Potensi eutrofikasi</t>
  </si>
  <si>
    <r>
      <t>kgPO</t>
    </r>
    <r>
      <rPr>
        <vertAlign val="sub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>ek</t>
    </r>
  </si>
  <si>
    <t>Jenis Data</t>
  </si>
  <si>
    <t>Ketersediaan Data</t>
  </si>
  <si>
    <t>Data Spesifik/Primer</t>
  </si>
  <si>
    <t>Data Generik/Sekunder</t>
  </si>
  <si>
    <t>Ada-Lengkap</t>
  </si>
  <si>
    <t>Tidak Ada-Diestimasi</t>
  </si>
  <si>
    <t>Tidak Ada-Tidak Dicakup</t>
  </si>
  <si>
    <t>Pengukuran</t>
  </si>
  <si>
    <t>Kalkulasi/Estimasi</t>
  </si>
  <si>
    <t>Referensi</t>
  </si>
  <si>
    <t>%</t>
  </si>
  <si>
    <t>Jumah</t>
  </si>
  <si>
    <t>Uji Sensitivitas</t>
  </si>
  <si>
    <t>Baseline</t>
  </si>
  <si>
    <t>Kategori</t>
  </si>
  <si>
    <t>% Beda</t>
  </si>
  <si>
    <t>ACD</t>
  </si>
  <si>
    <t>EUTR</t>
  </si>
  <si>
    <t>Emisi CO2 - Material Removal</t>
  </si>
  <si>
    <t>Solar - Material Removal</t>
  </si>
  <si>
    <t>Emisi CO2 - Coal Crushing</t>
  </si>
  <si>
    <t>Solar - Utility Mining</t>
  </si>
  <si>
    <t>Proses Hulu</t>
  </si>
  <si>
    <t>Bahan Bakar</t>
  </si>
  <si>
    <t>Emisi</t>
  </si>
  <si>
    <t>Proses Inti</t>
  </si>
  <si>
    <t>Produk</t>
  </si>
  <si>
    <t>Limbah Non B3</t>
  </si>
  <si>
    <t>Total</t>
  </si>
  <si>
    <t>Sox - Material Removal</t>
  </si>
  <si>
    <t>Nox - Material Removal</t>
  </si>
  <si>
    <t>CO2 - Material Removal</t>
  </si>
  <si>
    <t>Data Perusahaan (2020)</t>
  </si>
  <si>
    <t>Metode Pengumpulan Data</t>
  </si>
  <si>
    <t>Pengukuran survey dengan citra satelit dan drone, dikonversi dalam software hingga mendapat luasan, batasan, dan besaran bahan baku</t>
  </si>
  <si>
    <t>Pemesan bahan bakar by Material Request sesuai nomor unit yang telah dilengkapi oleh RFID dan ditransfer pada sistem SAP logistik. Pengisian bahan bakar pada masing-masing kendaraan akan otomatis tercatat pada sistem.</t>
  </si>
  <si>
    <t>Pencatatan aktual secara manual dari perhitungan perencanaan lokasi blasting</t>
  </si>
  <si>
    <t>Pencatatan aktual secara manual dari perhitungan dosis tiap tiap lokasai WWTP yang telah diuji skala piot pada laboratorium</t>
  </si>
  <si>
    <t>Pencatatan aktual secara manual yang mengacu pada konversi volume debit yang mempertimbangkan kondisi danjenis pintu air pada inlet dan outlet WWTP</t>
  </si>
  <si>
    <t>Pencatatan manual logbook TPS yang diverifikasi oleh pengawas dan diinput pada SIMPEL</t>
  </si>
  <si>
    <t>Pencatatan manual logbook yang diverifikasi oleh pengawas</t>
  </si>
  <si>
    <t>batubara : Pencatatan manual pada fasilitas penimbangan otomatis di area CPP, diperjelas dengan proses penghitungan dari data indera pencitraan udara oleh tim survey pada lokasi penyimpanan produk</t>
  </si>
  <si>
    <t>tanaman : Penerapan yang disesuaikan dengan prosedur, dilakukan pemantauan triwulan terkait pertumbuhan, untuk jumlah merupakan penyediaan yang disesuaikan dengan perhitungan by prosedur yg berlaku</t>
  </si>
  <si>
    <t>beban pencemar : hasil perhitungan nilai debit dengan nilai kualitas air WWTP yang diukur harian dengan alat ukur manual terkalibrasi</t>
  </si>
  <si>
    <t>Proses Inti (Gate to Gate)</t>
  </si>
  <si>
    <t>Coal Conveying to Stockpile</t>
  </si>
  <si>
    <t>Biodiesel</t>
  </si>
  <si>
    <t>Aki</t>
  </si>
  <si>
    <t>sludge</t>
  </si>
  <si>
    <t>air terkontaminasi</t>
  </si>
  <si>
    <t>Accu Bekas</t>
  </si>
  <si>
    <t>Filter terkontaminasi</t>
  </si>
  <si>
    <t>Hose Terkontaminasi</t>
  </si>
  <si>
    <t>Majun Terkontaminasi</t>
  </si>
  <si>
    <t>Material Terkontaminasi</t>
  </si>
  <si>
    <t>Grease Bekas</t>
  </si>
  <si>
    <t>Genset Crusher</t>
  </si>
  <si>
    <t>Air Limbah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</si>
</sst>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3" formatCode="_(* #,##0.00_);_(* \(#,##0.00\);_(* &quot;-&quot;??_);_(@_)"/>
    <numFmt numFmtId="164" formatCode="0.0000000"/>
    <numFmt numFmtId="165" formatCode="0.000"/>
    <numFmt numFmtId="166" formatCode="0.0000"/>
    <numFmt numFmtId="167" formatCode="#,##0.000"/>
    <numFmt numFmtId="168" formatCode="0.000000"/>
    <numFmt numFmtId="169" formatCode="#,##0.0000"/>
    <numFmt numFmtId="170" formatCode="0.00000"/>
    <numFmt numFmtId="171" formatCode="0.0%"/>
    <numFmt numFmtId="172" formatCode="0.E+00"/>
    <numFmt numFmtId="173" formatCode="0.00.E+00"/>
    <numFmt numFmtId="174" formatCode="_-* #,##0.0000_-;\-* #,##0.0000_-;_-* &quot;-&quot;_-;_-@_-"/>
  </numFmts>
  <fonts count="26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</font>
  </fonts>
  <fills count="38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B4C6E7"/>
        <bgColor rgb="FFB4C6E7"/>
      </patternFill>
    </fill>
    <fill>
      <patternFill patternType="solid">
        <fgColor rgb="FFA5A5A5"/>
        <bgColor rgb="FFA5A5A5"/>
      </patternFill>
    </fill>
    <fill>
      <patternFill patternType="solid">
        <fgColor rgb="FFC55A11"/>
        <bgColor rgb="FFC55A11"/>
      </patternFill>
    </fill>
    <fill>
      <patternFill patternType="solid">
        <fgColor rgb="FFBFBFBF"/>
        <bgColor rgb="FFBFBFBF"/>
      </patternFill>
    </fill>
    <fill>
      <patternFill patternType="solid">
        <fgColor rgb="FF70AD47"/>
        <bgColor rgb="FF70AD47"/>
      </patternFill>
    </fill>
    <fill>
      <patternFill patternType="solid">
        <fgColor rgb="FFF4B083"/>
        <bgColor rgb="FFF4B083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666666"/>
        <bgColor rgb="FF666666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F3F3F3"/>
        <bgColor rgb="FFF3F3F3"/>
      </patternFill>
    </fill>
    <fill>
      <patternFill patternType="solid">
        <fgColor rgb="FFD0E0E3"/>
        <bgColor rgb="FFD0E0E3"/>
      </patternFill>
    </fill>
    <fill>
      <patternFill patternType="solid">
        <fgColor rgb="FF93C47D"/>
        <bgColor rgb="FF93C47D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rgb="FF595959"/>
      </patternFill>
    </fill>
    <fill>
      <patternFill patternType="solid">
        <fgColor theme="1" tint="0.34998626667073579"/>
        <bgColor rgb="FFFFFFFF"/>
      </patternFill>
    </fill>
    <fill>
      <patternFill patternType="solid">
        <fgColor theme="1" tint="0.34998626667073579"/>
        <bgColor rgb="FFB6D7A8"/>
      </patternFill>
    </fill>
    <fill>
      <patternFill patternType="solid">
        <fgColor theme="0"/>
        <bgColor rgb="FF595959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4998626667073579"/>
        <bgColor rgb="FF595959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9" fillId="0" borderId="1"/>
    <xf numFmtId="43" fontId="19" fillId="0" borderId="1" applyFont="0" applyFill="0" applyBorder="0" applyAlignment="0" applyProtection="0"/>
    <xf numFmtId="0" fontId="19" fillId="0" borderId="1"/>
    <xf numFmtId="9" fontId="19" fillId="0" borderId="1" applyFont="0" applyFill="0" applyBorder="0" applyAlignment="0" applyProtection="0"/>
    <xf numFmtId="41" fontId="25" fillId="0" borderId="0" applyFont="0" applyFill="0" applyBorder="0" applyAlignment="0" applyProtection="0"/>
  </cellStyleXfs>
  <cellXfs count="422">
    <xf numFmtId="0" fontId="0" fillId="0" borderId="0" xfId="0" applyFont="1" applyAlignment="1"/>
    <xf numFmtId="0" fontId="2" fillId="7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11" borderId="2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wrapText="1"/>
    </xf>
    <xf numFmtId="0" fontId="0" fillId="0" borderId="2" xfId="0" applyFont="1" applyBorder="1"/>
    <xf numFmtId="0" fontId="5" fillId="0" borderId="2" xfId="0" applyFont="1" applyBorder="1" applyAlignment="1">
      <alignment wrapText="1"/>
    </xf>
    <xf numFmtId="0" fontId="0" fillId="10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6" fillId="10" borderId="2" xfId="0" applyFont="1" applyFill="1" applyBorder="1"/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10" borderId="2" xfId="0" applyFont="1" applyFill="1" applyBorder="1"/>
    <xf numFmtId="0" fontId="0" fillId="12" borderId="2" xfId="0" applyFont="1" applyFill="1" applyBorder="1" applyAlignment="1">
      <alignment vertical="center" wrapText="1"/>
    </xf>
    <xf numFmtId="0" fontId="0" fillId="12" borderId="2" xfId="0" applyFont="1" applyFill="1" applyBorder="1" applyAlignment="1">
      <alignment horizontal="center" vertical="center" wrapText="1"/>
    </xf>
    <xf numFmtId="43" fontId="0" fillId="0" borderId="0" xfId="0" applyNumberFormat="1" applyFont="1"/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0" fillId="12" borderId="2" xfId="0" applyFont="1" applyFill="1" applyBorder="1" applyAlignment="1"/>
    <xf numFmtId="0" fontId="0" fillId="12" borderId="2" xfId="0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1" fillId="0" borderId="2" xfId="0" applyFont="1" applyBorder="1" applyAlignment="1"/>
    <xf numFmtId="0" fontId="0" fillId="12" borderId="2" xfId="0" applyFont="1" applyFill="1" applyBorder="1" applyAlignment="1">
      <alignment horizontal="right"/>
    </xf>
    <xf numFmtId="164" fontId="0" fillId="0" borderId="2" xfId="0" applyNumberFormat="1" applyFont="1" applyBorder="1" applyAlignment="1">
      <alignment horizontal="center" vertical="center" wrapText="1"/>
    </xf>
    <xf numFmtId="165" fontId="0" fillId="9" borderId="2" xfId="0" applyNumberFormat="1" applyFont="1" applyFill="1" applyBorder="1" applyAlignment="1">
      <alignment horizontal="center" vertical="center" wrapText="1"/>
    </xf>
    <xf numFmtId="11" fontId="0" fillId="9" borderId="2" xfId="0" applyNumberFormat="1" applyFont="1" applyFill="1" applyBorder="1" applyAlignment="1">
      <alignment horizontal="center" vertical="center" wrapText="1"/>
    </xf>
    <xf numFmtId="165" fontId="0" fillId="10" borderId="2" xfId="0" applyNumberFormat="1" applyFont="1" applyFill="1" applyBorder="1" applyAlignment="1">
      <alignment horizontal="center" vertical="center" wrapText="1"/>
    </xf>
    <xf numFmtId="11" fontId="0" fillId="10" borderId="2" xfId="0" applyNumberFormat="1" applyFont="1" applyFill="1" applyBorder="1" applyAlignment="1">
      <alignment horizontal="center" vertical="center" wrapText="1"/>
    </xf>
    <xf numFmtId="165" fontId="0" fillId="9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 wrapText="1"/>
    </xf>
    <xf numFmtId="166" fontId="0" fillId="9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1" fontId="0" fillId="0" borderId="2" xfId="0" applyNumberFormat="1" applyFont="1" applyBorder="1" applyAlignment="1">
      <alignment horizontal="center" vertical="center" wrapText="1"/>
    </xf>
    <xf numFmtId="11" fontId="0" fillId="13" borderId="2" xfId="0" applyNumberFormat="1" applyFont="1" applyFill="1" applyBorder="1" applyAlignment="1">
      <alignment horizontal="center" vertical="center" wrapText="1"/>
    </xf>
    <xf numFmtId="11" fontId="5" fillId="9" borderId="2" xfId="0" applyNumberFormat="1" applyFont="1" applyFill="1" applyBorder="1" applyAlignment="1">
      <alignment horizontal="center" vertical="center" wrapText="1"/>
    </xf>
    <xf numFmtId="11" fontId="5" fillId="14" borderId="2" xfId="0" applyNumberFormat="1" applyFont="1" applyFill="1" applyBorder="1" applyAlignment="1">
      <alignment horizontal="center" vertical="center" wrapText="1"/>
    </xf>
    <xf numFmtId="11" fontId="0" fillId="9" borderId="2" xfId="0" applyNumberFormat="1" applyFont="1" applyFill="1" applyBorder="1" applyAlignment="1">
      <alignment horizontal="center" vertical="center" wrapText="1"/>
    </xf>
    <xf numFmtId="11" fontId="0" fillId="14" borderId="2" xfId="0" applyNumberFormat="1" applyFont="1" applyFill="1" applyBorder="1" applyAlignment="1">
      <alignment horizontal="center" vertical="center" wrapText="1"/>
    </xf>
    <xf numFmtId="11" fontId="0" fillId="13" borderId="2" xfId="0" applyNumberFormat="1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12" borderId="0" xfId="0" applyFont="1" applyFill="1" applyAlignment="1">
      <alignment horizontal="center" vertical="center"/>
    </xf>
    <xf numFmtId="0" fontId="6" fillId="0" borderId="0" xfId="0" applyFont="1" applyAlignment="1"/>
    <xf numFmtId="11" fontId="6" fillId="0" borderId="0" xfId="0" applyNumberFormat="1" applyFont="1"/>
    <xf numFmtId="11" fontId="7" fillId="12" borderId="0" xfId="0" applyNumberFormat="1" applyFont="1" applyFill="1" applyAlignment="1">
      <alignment horizontal="center" vertical="center"/>
    </xf>
    <xf numFmtId="0" fontId="0" fillId="9" borderId="0" xfId="0" applyFont="1" applyFill="1" applyAlignment="1">
      <alignment horizontal="right"/>
    </xf>
    <xf numFmtId="0" fontId="0" fillId="9" borderId="0" xfId="0" applyFont="1" applyFill="1" applyAlignment="1">
      <alignment horizontal="center"/>
    </xf>
    <xf numFmtId="0" fontId="1" fillId="9" borderId="0" xfId="0" applyFont="1" applyFill="1" applyAlignment="1"/>
    <xf numFmtId="0" fontId="6" fillId="9" borderId="0" xfId="0" applyFont="1" applyFill="1"/>
    <xf numFmtId="168" fontId="0" fillId="13" borderId="2" xfId="0" applyNumberFormat="1" applyFont="1" applyFill="1" applyBorder="1" applyAlignment="1">
      <alignment horizontal="center" vertical="center" wrapText="1"/>
    </xf>
    <xf numFmtId="4" fontId="5" fillId="9" borderId="2" xfId="0" applyNumberFormat="1" applyFont="1" applyFill="1" applyBorder="1" applyAlignment="1">
      <alignment horizontal="center" vertical="center" wrapText="1"/>
    </xf>
    <xf numFmtId="4" fontId="0" fillId="9" borderId="2" xfId="0" applyNumberFormat="1" applyFont="1" applyFill="1" applyBorder="1" applyAlignment="1">
      <alignment horizontal="center" vertical="center" wrapText="1"/>
    </xf>
    <xf numFmtId="165" fontId="0" fillId="1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8" fillId="7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9" fillId="0" borderId="2" xfId="0" applyFont="1" applyBorder="1"/>
    <xf numFmtId="0" fontId="10" fillId="11" borderId="2" xfId="0" applyFont="1" applyFill="1" applyBorder="1"/>
    <xf numFmtId="0" fontId="10" fillId="0" borderId="2" xfId="0" applyFont="1" applyBorder="1"/>
    <xf numFmtId="0" fontId="10" fillId="9" borderId="2" xfId="0" applyFont="1" applyFill="1" applyBorder="1"/>
    <xf numFmtId="4" fontId="10" fillId="9" borderId="2" xfId="0" applyNumberFormat="1" applyFont="1" applyFill="1" applyBorder="1" applyAlignment="1">
      <alignment horizontal="center"/>
    </xf>
    <xf numFmtId="3" fontId="10" fillId="9" borderId="2" xfId="0" applyNumberFormat="1" applyFont="1" applyFill="1" applyBorder="1" applyAlignment="1">
      <alignment horizontal="center"/>
    </xf>
    <xf numFmtId="43" fontId="10" fillId="9" borderId="2" xfId="0" applyNumberFormat="1" applyFont="1" applyFill="1" applyBorder="1" applyAlignment="1">
      <alignment horizontal="center"/>
    </xf>
    <xf numFmtId="0" fontId="10" fillId="11" borderId="3" xfId="0" applyFont="1" applyFill="1" applyBorder="1"/>
    <xf numFmtId="0" fontId="10" fillId="11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9" borderId="2" xfId="0" applyFont="1" applyFill="1" applyBorder="1" applyAlignment="1"/>
    <xf numFmtId="166" fontId="10" fillId="9" borderId="2" xfId="0" applyNumberFormat="1" applyFont="1" applyFill="1" applyBorder="1" applyAlignment="1">
      <alignment horizontal="center"/>
    </xf>
    <xf numFmtId="4" fontId="10" fillId="11" borderId="2" xfId="0" applyNumberFormat="1" applyFont="1" applyFill="1" applyBorder="1" applyAlignment="1">
      <alignment horizontal="right"/>
    </xf>
    <xf numFmtId="0" fontId="10" fillId="11" borderId="4" xfId="0" applyFont="1" applyFill="1" applyBorder="1"/>
    <xf numFmtId="2" fontId="10" fillId="11" borderId="3" xfId="0" applyNumberFormat="1" applyFont="1" applyFill="1" applyBorder="1"/>
    <xf numFmtId="0" fontId="10" fillId="11" borderId="6" xfId="0" applyFont="1" applyFill="1" applyBorder="1"/>
    <xf numFmtId="166" fontId="10" fillId="11" borderId="2" xfId="0" applyNumberFormat="1" applyFont="1" applyFill="1" applyBorder="1" applyAlignment="1">
      <alignment horizontal="center"/>
    </xf>
    <xf numFmtId="1" fontId="10" fillId="9" borderId="2" xfId="0" applyNumberFormat="1" applyFont="1" applyFill="1" applyBorder="1" applyAlignment="1">
      <alignment horizontal="center"/>
    </xf>
    <xf numFmtId="0" fontId="10" fillId="9" borderId="21" xfId="0" applyFont="1" applyFill="1" applyBorder="1"/>
    <xf numFmtId="2" fontId="10" fillId="9" borderId="2" xfId="0" applyNumberFormat="1" applyFont="1" applyFill="1" applyBorder="1" applyAlignment="1">
      <alignment horizontal="center"/>
    </xf>
    <xf numFmtId="0" fontId="10" fillId="11" borderId="8" xfId="0" applyFont="1" applyFill="1" applyBorder="1"/>
    <xf numFmtId="0" fontId="10" fillId="0" borderId="3" xfId="0" applyFont="1" applyBorder="1"/>
    <xf numFmtId="0" fontId="10" fillId="11" borderId="3" xfId="0" applyFont="1" applyFill="1" applyBorder="1" applyAlignment="1">
      <alignment horizontal="center"/>
    </xf>
    <xf numFmtId="166" fontId="10" fillId="11" borderId="3" xfId="0" applyNumberFormat="1" applyFont="1" applyFill="1" applyBorder="1" applyAlignment="1">
      <alignment horizontal="center"/>
    </xf>
    <xf numFmtId="0" fontId="10" fillId="9" borderId="23" xfId="0" applyFont="1" applyFill="1" applyBorder="1"/>
    <xf numFmtId="1" fontId="10" fillId="9" borderId="2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2" xfId="0" applyFont="1" applyBorder="1" applyAlignment="1"/>
    <xf numFmtId="0" fontId="10" fillId="15" borderId="2" xfId="0" applyFont="1" applyFill="1" applyBorder="1" applyAlignment="1">
      <alignment horizontal="center"/>
    </xf>
    <xf numFmtId="166" fontId="10" fillId="15" borderId="2" xfId="0" applyNumberFormat="1" applyFont="1" applyFill="1" applyBorder="1" applyAlignment="1">
      <alignment horizontal="center"/>
    </xf>
    <xf numFmtId="3" fontId="10" fillId="11" borderId="2" xfId="0" applyNumberFormat="1" applyFont="1" applyFill="1" applyBorder="1"/>
    <xf numFmtId="4" fontId="10" fillId="9" borderId="2" xfId="0" applyNumberFormat="1" applyFont="1" applyFill="1" applyBorder="1"/>
    <xf numFmtId="0" fontId="10" fillId="0" borderId="0" xfId="0" applyFont="1"/>
    <xf numFmtId="0" fontId="10" fillId="0" borderId="0" xfId="0" applyFont="1"/>
    <xf numFmtId="11" fontId="10" fillId="9" borderId="2" xfId="0" applyNumberFormat="1" applyFont="1" applyFill="1" applyBorder="1" applyAlignment="1">
      <alignment horizontal="center"/>
    </xf>
    <xf numFmtId="11" fontId="10" fillId="11" borderId="3" xfId="0" applyNumberFormat="1" applyFont="1" applyFill="1" applyBorder="1"/>
    <xf numFmtId="11" fontId="10" fillId="11" borderId="2" xfId="0" applyNumberFormat="1" applyFont="1" applyFill="1" applyBorder="1" applyAlignment="1">
      <alignment horizontal="center"/>
    </xf>
    <xf numFmtId="0" fontId="10" fillId="9" borderId="22" xfId="0" applyFont="1" applyFill="1" applyBorder="1" applyAlignment="1">
      <alignment horizontal="center"/>
    </xf>
    <xf numFmtId="11" fontId="10" fillId="11" borderId="3" xfId="0" applyNumberFormat="1" applyFont="1" applyFill="1" applyBorder="1" applyAlignment="1">
      <alignment horizontal="center"/>
    </xf>
    <xf numFmtId="11" fontId="10" fillId="0" borderId="2" xfId="0" applyNumberFormat="1" applyFont="1" applyBorder="1" applyAlignment="1">
      <alignment horizontal="center"/>
    </xf>
    <xf numFmtId="11" fontId="10" fillId="15" borderId="2" xfId="0" applyNumberFormat="1" applyFont="1" applyFill="1" applyBorder="1" applyAlignment="1">
      <alignment horizontal="center"/>
    </xf>
    <xf numFmtId="11" fontId="10" fillId="9" borderId="2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/>
    <xf numFmtId="0" fontId="0" fillId="9" borderId="0" xfId="0" applyFont="1" applyFill="1" applyAlignment="1"/>
    <xf numFmtId="0" fontId="8" fillId="2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/>
    </xf>
    <xf numFmtId="11" fontId="11" fillId="9" borderId="2" xfId="0" applyNumberFormat="1" applyFont="1" applyFill="1" applyBorder="1" applyAlignment="1">
      <alignment horizontal="center" vertical="center" wrapText="1"/>
    </xf>
    <xf numFmtId="11" fontId="10" fillId="9" borderId="2" xfId="0" applyNumberFormat="1" applyFont="1" applyFill="1" applyBorder="1" applyAlignment="1">
      <alignment horizontal="center" vertical="center" wrapText="1"/>
    </xf>
    <xf numFmtId="11" fontId="10" fillId="9" borderId="4" xfId="0" applyNumberFormat="1" applyFont="1" applyFill="1" applyBorder="1" applyAlignment="1">
      <alignment horizontal="center"/>
    </xf>
    <xf numFmtId="11" fontId="10" fillId="9" borderId="6" xfId="0" applyNumberFormat="1" applyFont="1" applyFill="1" applyBorder="1" applyAlignment="1">
      <alignment horizontal="center"/>
    </xf>
    <xf numFmtId="11" fontId="10" fillId="9" borderId="6" xfId="0" applyNumberFormat="1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4" fontId="10" fillId="9" borderId="2" xfId="0" applyNumberFormat="1" applyFont="1" applyFill="1" applyBorder="1" applyAlignment="1">
      <alignment horizontal="center"/>
    </xf>
    <xf numFmtId="0" fontId="12" fillId="12" borderId="0" xfId="0" applyFont="1" applyFill="1" applyAlignment="1">
      <alignment horizontal="center"/>
    </xf>
    <xf numFmtId="0" fontId="10" fillId="0" borderId="0" xfId="0" applyFont="1" applyAlignment="1"/>
    <xf numFmtId="11" fontId="10" fillId="0" borderId="0" xfId="0" applyNumberFormat="1" applyFont="1"/>
    <xf numFmtId="11" fontId="12" fillId="12" borderId="0" xfId="0" applyNumberFormat="1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9" borderId="0" xfId="0" applyFont="1" applyFill="1" applyAlignment="1"/>
    <xf numFmtId="0" fontId="10" fillId="9" borderId="0" xfId="0" applyFont="1" applyFill="1" applyAlignment="1"/>
    <xf numFmtId="0" fontId="10" fillId="9" borderId="0" xfId="0" applyFont="1" applyFill="1" applyAlignment="1">
      <alignment horizontal="center"/>
    </xf>
    <xf numFmtId="0" fontId="10" fillId="9" borderId="0" xfId="0" applyFont="1" applyFill="1"/>
    <xf numFmtId="0" fontId="10" fillId="9" borderId="0" xfId="0" applyFont="1" applyFill="1" applyAlignment="1">
      <alignment horizontal="right"/>
    </xf>
    <xf numFmtId="4" fontId="11" fillId="9" borderId="2" xfId="0" applyNumberFormat="1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4" fontId="10" fillId="9" borderId="6" xfId="0" applyNumberFormat="1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 wrapText="1"/>
    </xf>
    <xf numFmtId="11" fontId="4" fillId="16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left"/>
    </xf>
    <xf numFmtId="11" fontId="0" fillId="0" borderId="2" xfId="0" applyNumberFormat="1" applyFont="1" applyBorder="1" applyAlignment="1">
      <alignment horizontal="center"/>
    </xf>
    <xf numFmtId="167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1" fontId="1" fillId="0" borderId="2" xfId="0" applyNumberFormat="1" applyFont="1" applyBorder="1" applyAlignment="1">
      <alignment horizontal="center"/>
    </xf>
    <xf numFmtId="11" fontId="14" fillId="0" borderId="2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15" fillId="0" borderId="2" xfId="0" applyFont="1" applyBorder="1"/>
    <xf numFmtId="169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11" fontId="1" fillId="0" borderId="2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1" fontId="14" fillId="0" borderId="2" xfId="0" applyNumberFormat="1" applyFont="1" applyBorder="1" applyAlignment="1">
      <alignment horizontal="center"/>
    </xf>
    <xf numFmtId="0" fontId="15" fillId="0" borderId="2" xfId="0" applyFont="1" applyBorder="1" applyAlignment="1"/>
    <xf numFmtId="0" fontId="5" fillId="0" borderId="2" xfId="0" applyFont="1" applyBorder="1" applyAlignment="1">
      <alignment horizontal="left"/>
    </xf>
    <xf numFmtId="11" fontId="0" fillId="0" borderId="2" xfId="0" applyNumberFormat="1" applyFont="1" applyBorder="1" applyAlignment="1">
      <alignment horizontal="center"/>
    </xf>
    <xf numFmtId="167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1" fontId="15" fillId="0" borderId="2" xfId="0" applyNumberFormat="1" applyFont="1" applyBorder="1" applyAlignment="1">
      <alignment horizontal="center"/>
    </xf>
    <xf numFmtId="11" fontId="15" fillId="0" borderId="2" xfId="0" applyNumberFormat="1" applyFont="1" applyBorder="1" applyAlignment="1"/>
    <xf numFmtId="0" fontId="1" fillId="0" borderId="2" xfId="0" applyFont="1" applyBorder="1" applyAlignment="1"/>
    <xf numFmtId="4" fontId="0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4" fillId="0" borderId="2" xfId="0" applyFont="1" applyBorder="1" applyAlignment="1">
      <alignment horizontal="left"/>
    </xf>
    <xf numFmtId="0" fontId="0" fillId="0" borderId="1" xfId="0" applyFont="1" applyBorder="1" applyAlignment="1"/>
    <xf numFmtId="0" fontId="0" fillId="0" borderId="0" xfId="0" applyFont="1" applyAlignment="1"/>
    <xf numFmtId="0" fontId="16" fillId="0" borderId="2" xfId="0" applyFont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15" borderId="2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7" fillId="9" borderId="23" xfId="0" applyFont="1" applyFill="1" applyBorder="1" applyAlignment="1">
      <alignment horizontal="center"/>
    </xf>
    <xf numFmtId="165" fontId="10" fillId="9" borderId="2" xfId="0" applyNumberFormat="1" applyFont="1" applyFill="1" applyBorder="1" applyAlignment="1">
      <alignment horizontal="center"/>
    </xf>
    <xf numFmtId="170" fontId="10" fillId="9" borderId="2" xfId="0" applyNumberFormat="1" applyFont="1" applyFill="1" applyBorder="1" applyAlignment="1">
      <alignment horizontal="center"/>
    </xf>
    <xf numFmtId="0" fontId="16" fillId="18" borderId="24" xfId="0" applyFont="1" applyFill="1" applyBorder="1" applyAlignment="1">
      <alignment horizontal="center" vertical="center"/>
    </xf>
    <xf numFmtId="0" fontId="0" fillId="0" borderId="24" xfId="0" applyFont="1" applyBorder="1" applyAlignment="1"/>
    <xf numFmtId="0" fontId="16" fillId="18" borderId="24" xfId="0" applyFont="1" applyFill="1" applyBorder="1" applyAlignment="1">
      <alignment horizontal="left" vertical="center"/>
    </xf>
    <xf numFmtId="11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9" fontId="0" fillId="0" borderId="24" xfId="0" applyNumberFormat="1" applyFont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11" fontId="0" fillId="19" borderId="24" xfId="0" applyNumberFormat="1" applyFont="1" applyFill="1" applyBorder="1" applyAlignment="1">
      <alignment horizontal="center"/>
    </xf>
    <xf numFmtId="9" fontId="0" fillId="19" borderId="24" xfId="0" applyNumberFormat="1" applyFont="1" applyFill="1" applyBorder="1" applyAlignment="1">
      <alignment horizontal="center" vertical="center"/>
    </xf>
    <xf numFmtId="0" fontId="0" fillId="19" borderId="24" xfId="0" applyFont="1" applyFill="1" applyBorder="1" applyAlignment="1">
      <alignment horizontal="left"/>
    </xf>
    <xf numFmtId="11" fontId="0" fillId="0" borderId="0" xfId="0" applyNumberFormat="1" applyFont="1" applyAlignment="1">
      <alignment horizontal="center"/>
    </xf>
    <xf numFmtId="171" fontId="0" fillId="0" borderId="24" xfId="0" applyNumberFormat="1" applyFont="1" applyBorder="1" applyAlignment="1">
      <alignment horizontal="center" vertical="center"/>
    </xf>
    <xf numFmtId="171" fontId="0" fillId="19" borderId="24" xfId="0" applyNumberFormat="1" applyFont="1" applyFill="1" applyBorder="1" applyAlignment="1">
      <alignment horizontal="center" vertical="center"/>
    </xf>
    <xf numFmtId="0" fontId="0" fillId="20" borderId="24" xfId="0" applyFont="1" applyFill="1" applyBorder="1" applyAlignment="1">
      <alignment horizontal="left" vertical="center"/>
    </xf>
    <xf numFmtId="0" fontId="0" fillId="20" borderId="24" xfId="0" applyFont="1" applyFill="1" applyBorder="1" applyAlignment="1">
      <alignment horizontal="center" vertical="center"/>
    </xf>
    <xf numFmtId="9" fontId="0" fillId="20" borderId="24" xfId="0" applyNumberFormat="1" applyFont="1" applyFill="1" applyBorder="1" applyAlignment="1">
      <alignment horizontal="center" vertical="center"/>
    </xf>
    <xf numFmtId="9" fontId="0" fillId="0" borderId="24" xfId="0" applyNumberFormat="1" applyFont="1" applyBorder="1" applyAlignment="1">
      <alignment vertical="center"/>
    </xf>
    <xf numFmtId="11" fontId="10" fillId="0" borderId="24" xfId="0" applyNumberFormat="1" applyFont="1" applyBorder="1" applyAlignment="1">
      <alignment horizontal="center" vertical="center"/>
    </xf>
    <xf numFmtId="9" fontId="10" fillId="0" borderId="2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1" fontId="16" fillId="0" borderId="0" xfId="0" applyNumberFormat="1" applyFont="1" applyAlignment="1">
      <alignment horizontal="center" vertical="center"/>
    </xf>
    <xf numFmtId="9" fontId="16" fillId="0" borderId="0" xfId="0" applyNumberFormat="1" applyFont="1" applyAlignment="1">
      <alignment horizontal="center" vertical="center"/>
    </xf>
    <xf numFmtId="0" fontId="10" fillId="0" borderId="24" xfId="0" applyFont="1" applyBorder="1" applyAlignment="1">
      <alignment horizontal="left"/>
    </xf>
    <xf numFmtId="11" fontId="10" fillId="19" borderId="24" xfId="0" applyNumberFormat="1" applyFont="1" applyFill="1" applyBorder="1" applyAlignment="1">
      <alignment horizontal="center" vertical="center"/>
    </xf>
    <xf numFmtId="9" fontId="10" fillId="19" borderId="24" xfId="0" applyNumberFormat="1" applyFont="1" applyFill="1" applyBorder="1" applyAlignment="1">
      <alignment horizontal="center" vertical="center"/>
    </xf>
    <xf numFmtId="11" fontId="10" fillId="0" borderId="24" xfId="0" applyNumberFormat="1" applyFont="1" applyFill="1" applyBorder="1" applyAlignment="1">
      <alignment horizontal="center" vertical="center"/>
    </xf>
    <xf numFmtId="9" fontId="10" fillId="0" borderId="24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/>
    </xf>
    <xf numFmtId="0" fontId="20" fillId="21" borderId="24" xfId="0" applyFont="1" applyFill="1" applyBorder="1" applyAlignment="1">
      <alignment horizontal="center" vertical="center" wrapText="1"/>
    </xf>
    <xf numFmtId="172" fontId="10" fillId="9" borderId="2" xfId="0" applyNumberFormat="1" applyFont="1" applyFill="1" applyBorder="1" applyAlignment="1">
      <alignment horizontal="center"/>
    </xf>
    <xf numFmtId="172" fontId="10" fillId="9" borderId="23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0" fontId="0" fillId="0" borderId="24" xfId="0" applyFont="1" applyBorder="1" applyAlignment="1">
      <alignment vertical="center"/>
    </xf>
    <xf numFmtId="0" fontId="0" fillId="20" borderId="24" xfId="0" applyFont="1" applyFill="1" applyBorder="1" applyAlignment="1">
      <alignment vertical="center"/>
    </xf>
    <xf numFmtId="0" fontId="19" fillId="0" borderId="1" xfId="1"/>
    <xf numFmtId="0" fontId="20" fillId="27" borderId="24" xfId="0" applyFont="1" applyFill="1" applyBorder="1" applyAlignment="1">
      <alignment horizontal="center" vertical="center"/>
    </xf>
    <xf numFmtId="9" fontId="20" fillId="27" borderId="24" xfId="0" applyNumberFormat="1" applyFont="1" applyFill="1" applyBorder="1" applyAlignment="1">
      <alignment horizontal="center" vertical="center"/>
    </xf>
    <xf numFmtId="0" fontId="20" fillId="27" borderId="24" xfId="0" applyFont="1" applyFill="1" applyBorder="1" applyAlignment="1">
      <alignment vertical="center"/>
    </xf>
    <xf numFmtId="2" fontId="0" fillId="0" borderId="24" xfId="0" applyNumberFormat="1" applyFont="1" applyBorder="1" applyAlignment="1"/>
    <xf numFmtId="0" fontId="0" fillId="22" borderId="0" xfId="0" applyFont="1" applyFill="1" applyAlignment="1">
      <alignment horizontal="center" vertical="center"/>
    </xf>
    <xf numFmtId="0" fontId="18" fillId="27" borderId="24" xfId="0" applyFont="1" applyFill="1" applyBorder="1"/>
    <xf numFmtId="0" fontId="18" fillId="27" borderId="24" xfId="0" applyFont="1" applyFill="1" applyBorder="1" applyAlignment="1">
      <alignment horizontal="center" vertical="center"/>
    </xf>
    <xf numFmtId="9" fontId="18" fillId="27" borderId="24" xfId="0" applyNumberFormat="1" applyFont="1" applyFill="1" applyBorder="1" applyAlignment="1">
      <alignment horizontal="center" vertical="center"/>
    </xf>
    <xf numFmtId="0" fontId="18" fillId="0" borderId="24" xfId="0" applyFont="1" applyBorder="1"/>
    <xf numFmtId="173" fontId="0" fillId="0" borderId="24" xfId="0" applyNumberFormat="1" applyBorder="1"/>
    <xf numFmtId="0" fontId="0" fillId="0" borderId="24" xfId="0" applyBorder="1"/>
    <xf numFmtId="2" fontId="0" fillId="0" borderId="24" xfId="0" applyNumberFormat="1" applyBorder="1"/>
    <xf numFmtId="0" fontId="0" fillId="0" borderId="0" xfId="0" applyFont="1" applyAlignment="1"/>
    <xf numFmtId="0" fontId="10" fillId="19" borderId="24" xfId="0" applyFont="1" applyFill="1" applyBorder="1" applyAlignment="1">
      <alignment horizontal="left"/>
    </xf>
    <xf numFmtId="0" fontId="19" fillId="0" borderId="0" xfId="0" applyFont="1" applyAlignment="1"/>
    <xf numFmtId="0" fontId="19" fillId="0" borderId="24" xfId="0" applyFont="1" applyBorder="1" applyAlignment="1"/>
    <xf numFmtId="9" fontId="0" fillId="0" borderId="24" xfId="0" applyNumberFormat="1" applyFont="1" applyBorder="1" applyAlignment="1">
      <alignment horizontal="center"/>
    </xf>
    <xf numFmtId="2" fontId="0" fillId="9" borderId="2" xfId="0" applyNumberFormat="1" applyFont="1" applyFill="1" applyBorder="1" applyAlignment="1">
      <alignment horizontal="center" vertical="center" wrapText="1"/>
    </xf>
    <xf numFmtId="2" fontId="0" fillId="10" borderId="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/>
    <xf numFmtId="9" fontId="4" fillId="0" borderId="2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1" xfId="3" applyFont="1"/>
    <xf numFmtId="0" fontId="0" fillId="0" borderId="1" xfId="3" applyFont="1" applyAlignment="1">
      <alignment vertical="center"/>
    </xf>
    <xf numFmtId="0" fontId="4" fillId="0" borderId="24" xfId="3" applyFont="1" applyBorder="1" applyAlignment="1">
      <alignment vertical="top" wrapText="1"/>
    </xf>
    <xf numFmtId="0" fontId="19" fillId="0" borderId="24" xfId="3" applyFont="1" applyBorder="1" applyAlignment="1">
      <alignment wrapText="1"/>
    </xf>
    <xf numFmtId="0" fontId="19" fillId="0" borderId="24" xfId="3" applyFont="1" applyBorder="1" applyAlignment="1">
      <alignment vertical="top" wrapText="1"/>
    </xf>
    <xf numFmtId="0" fontId="19" fillId="0" borderId="24" xfId="1" applyFont="1" applyBorder="1" applyAlignment="1">
      <alignment wrapText="1"/>
    </xf>
    <xf numFmtId="9" fontId="19" fillId="0" borderId="24" xfId="1" applyNumberFormat="1" applyFont="1" applyBorder="1" applyAlignment="1">
      <alignment wrapText="1"/>
    </xf>
    <xf numFmtId="0" fontId="19" fillId="0" borderId="24" xfId="3" applyFont="1" applyBorder="1" applyAlignment="1">
      <alignment vertical="center" wrapText="1"/>
    </xf>
    <xf numFmtId="0" fontId="22" fillId="25" borderId="24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1" xfId="0" applyFont="1" applyBorder="1"/>
    <xf numFmtId="0" fontId="0" fillId="0" borderId="23" xfId="0" applyFont="1" applyBorder="1" applyAlignment="1">
      <alignment wrapText="1"/>
    </xf>
    <xf numFmtId="0" fontId="0" fillId="10" borderId="23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10" borderId="24" xfId="0" applyFont="1" applyFill="1" applyBorder="1" applyAlignment="1">
      <alignment wrapText="1"/>
    </xf>
    <xf numFmtId="0" fontId="0" fillId="29" borderId="24" xfId="0" applyFill="1" applyBorder="1" applyAlignment="1">
      <alignment horizontal="center" vertical="center"/>
    </xf>
    <xf numFmtId="41" fontId="0" fillId="29" borderId="24" xfId="5" applyFont="1" applyFill="1" applyBorder="1" applyAlignment="1">
      <alignment horizontal="center" vertical="center"/>
    </xf>
    <xf numFmtId="174" fontId="0" fillId="29" borderId="24" xfId="5" applyNumberFormat="1" applyFont="1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174" fontId="0" fillId="30" borderId="24" xfId="5" applyNumberFormat="1" applyFont="1" applyFill="1" applyBorder="1" applyAlignment="1">
      <alignment horizontal="center" vertical="center"/>
    </xf>
    <xf numFmtId="174" fontId="0" fillId="30" borderId="24" xfId="0" applyNumberFormat="1" applyFill="1" applyBorder="1" applyAlignment="1">
      <alignment horizontal="center" vertical="center"/>
    </xf>
    <xf numFmtId="41" fontId="0" fillId="30" borderId="24" xfId="5" applyFont="1" applyFill="1" applyBorder="1" applyAlignment="1">
      <alignment horizontal="center" vertical="center"/>
    </xf>
    <xf numFmtId="0" fontId="0" fillId="0" borderId="24" xfId="0" applyFill="1" applyBorder="1"/>
    <xf numFmtId="0" fontId="0" fillId="0" borderId="2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wrapText="1"/>
    </xf>
    <xf numFmtId="0" fontId="0" fillId="30" borderId="24" xfId="0" applyFont="1" applyFill="1" applyBorder="1" applyAlignment="1"/>
    <xf numFmtId="0" fontId="0" fillId="0" borderId="24" xfId="0" applyFill="1" applyBorder="1" applyAlignment="1">
      <alignment vertical="center"/>
    </xf>
    <xf numFmtId="0" fontId="0" fillId="9" borderId="2" xfId="0" applyFont="1" applyFill="1" applyBorder="1" applyAlignment="1">
      <alignment horizontal="left" vertical="center" wrapText="1"/>
    </xf>
    <xf numFmtId="0" fontId="0" fillId="29" borderId="24" xfId="0" applyFill="1" applyBorder="1" applyAlignment="1">
      <alignment horizontal="left" vertical="center"/>
    </xf>
    <xf numFmtId="11" fontId="0" fillId="29" borderId="24" xfId="5" applyNumberFormat="1" applyFont="1" applyFill="1" applyBorder="1" applyAlignment="1">
      <alignment horizontal="center" vertical="center"/>
    </xf>
    <xf numFmtId="0" fontId="0" fillId="0" borderId="23" xfId="0" applyFont="1" applyBorder="1"/>
    <xf numFmtId="0" fontId="0" fillId="0" borderId="24" xfId="0" applyFont="1" applyBorder="1"/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 vertical="center" wrapText="1"/>
    </xf>
    <xf numFmtId="11" fontId="0" fillId="0" borderId="24" xfId="0" applyNumberFormat="1" applyFont="1" applyFill="1" applyBorder="1" applyAlignment="1">
      <alignment horizontal="center" vertical="center" wrapText="1"/>
    </xf>
    <xf numFmtId="11" fontId="0" fillId="0" borderId="24" xfId="0" applyNumberFormat="1" applyFont="1" applyFill="1" applyBorder="1" applyAlignment="1">
      <alignment wrapText="1"/>
    </xf>
    <xf numFmtId="11" fontId="0" fillId="0" borderId="24" xfId="0" applyNumberFormat="1" applyFill="1" applyBorder="1"/>
    <xf numFmtId="0" fontId="0" fillId="31" borderId="24" xfId="0" applyFont="1" applyFill="1" applyBorder="1" applyAlignment="1">
      <alignment wrapText="1"/>
    </xf>
    <xf numFmtId="0" fontId="0" fillId="32" borderId="2" xfId="0" applyFont="1" applyFill="1" applyBorder="1" applyAlignment="1">
      <alignment horizontal="center" vertical="center" wrapText="1"/>
    </xf>
    <xf numFmtId="0" fontId="0" fillId="33" borderId="2" xfId="0" applyFont="1" applyFill="1" applyBorder="1" applyAlignment="1">
      <alignment horizontal="center" vertical="center" wrapText="1"/>
    </xf>
    <xf numFmtId="0" fontId="0" fillId="30" borderId="2" xfId="0" applyFont="1" applyFill="1" applyBorder="1" applyAlignment="1">
      <alignment horizontal="center" vertical="center" wrapText="1"/>
    </xf>
    <xf numFmtId="4" fontId="0" fillId="34" borderId="24" xfId="0" applyNumberFormat="1" applyFont="1" applyFill="1" applyBorder="1" applyAlignment="1">
      <alignment horizontal="center" wrapText="1"/>
    </xf>
    <xf numFmtId="11" fontId="0" fillId="9" borderId="24" xfId="0" applyNumberFormat="1" applyFont="1" applyFill="1" applyBorder="1" applyAlignment="1">
      <alignment horizontal="center" vertical="center" wrapText="1"/>
    </xf>
    <xf numFmtId="11" fontId="0" fillId="35" borderId="24" xfId="0" applyNumberFormat="1" applyFont="1" applyFill="1" applyBorder="1" applyAlignment="1">
      <alignment horizontal="center" vertical="center" wrapText="1"/>
    </xf>
    <xf numFmtId="11" fontId="0" fillId="36" borderId="24" xfId="0" applyNumberFormat="1" applyFill="1" applyBorder="1"/>
    <xf numFmtId="0" fontId="0" fillId="37" borderId="2" xfId="0" applyFont="1" applyFill="1" applyBorder="1" applyAlignment="1">
      <alignment wrapText="1"/>
    </xf>
    <xf numFmtId="0" fontId="0" fillId="0" borderId="0" xfId="0" applyFont="1" applyAlignment="1"/>
    <xf numFmtId="11" fontId="0" fillId="0" borderId="0" xfId="0" applyNumberFormat="1" applyFont="1" applyAlignment="1"/>
    <xf numFmtId="173" fontId="12" fillId="12" borderId="0" xfId="0" applyNumberFormat="1" applyFont="1" applyFill="1" applyAlignment="1">
      <alignment horizontal="center"/>
    </xf>
    <xf numFmtId="0" fontId="0" fillId="20" borderId="25" xfId="0" applyFont="1" applyFill="1" applyBorder="1" applyAlignment="1">
      <alignment horizontal="left" vertical="center"/>
    </xf>
    <xf numFmtId="9" fontId="0" fillId="20" borderId="25" xfId="0" applyNumberFormat="1" applyFont="1" applyFill="1" applyBorder="1" applyAlignment="1">
      <alignment horizontal="center" vertical="center"/>
    </xf>
    <xf numFmtId="0" fontId="20" fillId="23" borderId="24" xfId="0" applyFont="1" applyFill="1" applyBorder="1" applyAlignment="1">
      <alignment horizontal="center" vertical="center"/>
    </xf>
    <xf numFmtId="0" fontId="23" fillId="0" borderId="24" xfId="0" applyFont="1" applyBorder="1"/>
    <xf numFmtId="0" fontId="24" fillId="28" borderId="24" xfId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2" fillId="26" borderId="25" xfId="0" applyFont="1" applyFill="1" applyBorder="1" applyAlignment="1">
      <alignment horizontal="center" vertical="center"/>
    </xf>
    <xf numFmtId="0" fontId="22" fillId="26" borderId="26" xfId="0" applyFont="1" applyFill="1" applyBorder="1" applyAlignment="1">
      <alignment horizontal="center" vertical="center"/>
    </xf>
    <xf numFmtId="0" fontId="20" fillId="23" borderId="25" xfId="0" applyFont="1" applyFill="1" applyBorder="1" applyAlignment="1">
      <alignment horizontal="center" vertical="center"/>
    </xf>
    <xf numFmtId="0" fontId="20" fillId="23" borderId="27" xfId="0" applyFont="1" applyFill="1" applyBorder="1" applyAlignment="1">
      <alignment horizontal="center" vertical="center"/>
    </xf>
    <xf numFmtId="0" fontId="20" fillId="23" borderId="26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0" fontId="22" fillId="25" borderId="31" xfId="0" applyFont="1" applyFill="1" applyBorder="1" applyAlignment="1">
      <alignment horizontal="center" vertical="center"/>
    </xf>
    <xf numFmtId="0" fontId="22" fillId="25" borderId="30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22" fillId="26" borderId="30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20" borderId="24" xfId="0" applyFont="1" applyFill="1" applyBorder="1" applyAlignment="1">
      <alignment horizontal="center" vertical="center" wrapText="1"/>
    </xf>
    <xf numFmtId="0" fontId="19" fillId="20" borderId="24" xfId="0" applyFont="1" applyFill="1" applyBorder="1" applyAlignment="1">
      <alignment horizontal="left" vertical="center" wrapText="1"/>
    </xf>
    <xf numFmtId="0" fontId="19" fillId="20" borderId="25" xfId="0" applyFont="1" applyFill="1" applyBorder="1" applyAlignment="1">
      <alignment horizontal="center" vertical="center" wrapText="1"/>
    </xf>
    <xf numFmtId="0" fontId="19" fillId="20" borderId="27" xfId="0" applyFont="1" applyFill="1" applyBorder="1" applyAlignment="1">
      <alignment horizontal="center" vertical="center" wrapText="1"/>
    </xf>
    <xf numFmtId="0" fontId="19" fillId="20" borderId="26" xfId="0" applyFont="1" applyFill="1" applyBorder="1" applyAlignment="1">
      <alignment horizontal="center" vertical="center" wrapText="1"/>
    </xf>
    <xf numFmtId="0" fontId="19" fillId="20" borderId="25" xfId="0" applyFont="1" applyFill="1" applyBorder="1" applyAlignment="1">
      <alignment horizontal="left" vertical="center" wrapText="1"/>
    </xf>
    <xf numFmtId="0" fontId="19" fillId="20" borderId="27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20" fillId="21" borderId="24" xfId="0" applyFont="1" applyFill="1" applyBorder="1" applyAlignment="1">
      <alignment horizontal="center" vertical="center"/>
    </xf>
    <xf numFmtId="0" fontId="20" fillId="21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2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0" xfId="0" applyFont="1" applyBorder="1"/>
    <xf numFmtId="0" fontId="0" fillId="0" borderId="3" xfId="0" applyFont="1" applyBorder="1" applyAlignment="1">
      <alignment horizontal="left" vertical="center" wrapText="1"/>
    </xf>
    <xf numFmtId="0" fontId="6" fillId="0" borderId="15" xfId="0" applyFont="1" applyBorder="1"/>
    <xf numFmtId="0" fontId="3" fillId="0" borderId="15" xfId="0" applyFont="1" applyBorder="1"/>
    <xf numFmtId="0" fontId="3" fillId="0" borderId="16" xfId="0" applyFont="1" applyBorder="1"/>
    <xf numFmtId="0" fontId="2" fillId="8" borderId="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0" fillId="0" borderId="0" xfId="0" applyFont="1" applyAlignment="1"/>
    <xf numFmtId="0" fontId="3" fillId="0" borderId="13" xfId="0" applyFont="1" applyBorder="1"/>
    <xf numFmtId="0" fontId="3" fillId="0" borderId="14" xfId="0" applyFont="1" applyBorder="1"/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2" fillId="7" borderId="4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9" borderId="0" xfId="0" applyFont="1" applyFill="1"/>
    <xf numFmtId="0" fontId="16" fillId="17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8" fillId="8" borderId="3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3" fillId="0" borderId="18" xfId="0" applyFont="1" applyBorder="1"/>
    <xf numFmtId="0" fontId="3" fillId="0" borderId="19" xfId="0" applyFont="1" applyBorder="1"/>
    <xf numFmtId="0" fontId="8" fillId="3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0" fillId="20" borderId="25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9" fontId="0" fillId="0" borderId="1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/>
    </xf>
    <xf numFmtId="9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/>
  </cellXfs>
  <cellStyles count="6">
    <cellStyle name="Comma [0]" xfId="5" builtinId="6"/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outlinePr summaryBelow="0" summaryRight="0"/>
  </sheetPr>
  <dimension ref="A1:B23"/>
  <sheetViews>
    <sheetView zoomScale="64" zoomScaleNormal="13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B23" sqref="B23"/>
    </sheetView>
  </sheetViews>
  <sheetFormatPr defaultColWidth="12.58203125" defaultRowHeight="15" customHeight="1" x14ac:dyDescent="0.3"/>
  <cols>
    <col min="1" max="1" width="24.5" style="255" customWidth="1"/>
    <col min="2" max="2" width="31.08203125" style="232" customWidth="1"/>
    <col min="3" max="16384" width="12.58203125" style="255"/>
  </cols>
  <sheetData>
    <row r="1" spans="1:2" ht="15" customHeight="1" x14ac:dyDescent="0.3">
      <c r="A1" s="307" t="s">
        <v>227</v>
      </c>
      <c r="B1" s="309" t="s">
        <v>260</v>
      </c>
    </row>
    <row r="2" spans="1:2" ht="15" customHeight="1" x14ac:dyDescent="0.3">
      <c r="A2" s="308"/>
      <c r="B2" s="309"/>
    </row>
    <row r="3" spans="1:2" ht="15" customHeight="1" x14ac:dyDescent="0.3">
      <c r="A3" s="308"/>
      <c r="B3" s="309"/>
    </row>
    <row r="4" spans="1:2" ht="15" customHeight="1" x14ac:dyDescent="0.3">
      <c r="A4" s="257" t="s">
        <v>249</v>
      </c>
      <c r="B4" s="258"/>
    </row>
    <row r="5" spans="1:2" ht="56" x14ac:dyDescent="0.3">
      <c r="A5" s="259" t="s">
        <v>6</v>
      </c>
      <c r="B5" s="260" t="s">
        <v>261</v>
      </c>
    </row>
    <row r="6" spans="1:2" ht="98" x14ac:dyDescent="0.3">
      <c r="A6" s="259" t="s">
        <v>250</v>
      </c>
      <c r="B6" s="260" t="s">
        <v>262</v>
      </c>
    </row>
    <row r="7" spans="1:2" ht="42" x14ac:dyDescent="0.3">
      <c r="A7" s="259" t="s">
        <v>105</v>
      </c>
      <c r="B7" s="261" t="s">
        <v>263</v>
      </c>
    </row>
    <row r="8" spans="1:2" ht="15" customHeight="1" x14ac:dyDescent="0.3">
      <c r="A8" s="259" t="s">
        <v>251</v>
      </c>
      <c r="B8" s="260"/>
    </row>
    <row r="9" spans="1:2" ht="15" customHeight="1" x14ac:dyDescent="0.3">
      <c r="A9" s="257" t="s">
        <v>252</v>
      </c>
      <c r="B9" s="258"/>
    </row>
    <row r="10" spans="1:2" ht="56" x14ac:dyDescent="0.3">
      <c r="A10" s="259" t="s">
        <v>6</v>
      </c>
      <c r="B10" s="260" t="s">
        <v>261</v>
      </c>
    </row>
    <row r="11" spans="1:2" ht="98" x14ac:dyDescent="0.3">
      <c r="A11" s="259" t="s">
        <v>250</v>
      </c>
      <c r="B11" s="260" t="s">
        <v>262</v>
      </c>
    </row>
    <row r="12" spans="1:2" ht="84" x14ac:dyDescent="0.3">
      <c r="A12" s="259" t="s">
        <v>253</v>
      </c>
      <c r="B12" s="260" t="s">
        <v>268</v>
      </c>
    </row>
    <row r="13" spans="1:2" ht="15" customHeight="1" x14ac:dyDescent="0.3">
      <c r="A13" s="259" t="s">
        <v>251</v>
      </c>
      <c r="B13" s="260"/>
    </row>
    <row r="14" spans="1:2" ht="15" customHeight="1" x14ac:dyDescent="0.3">
      <c r="A14" s="257" t="s">
        <v>215</v>
      </c>
      <c r="B14" s="260"/>
    </row>
    <row r="15" spans="1:2" s="256" customFormat="1" ht="56" x14ac:dyDescent="0.3">
      <c r="A15" s="262" t="s">
        <v>6</v>
      </c>
      <c r="B15" s="260" t="s">
        <v>261</v>
      </c>
    </row>
    <row r="16" spans="1:2" ht="98" x14ac:dyDescent="0.3">
      <c r="A16" s="259" t="s">
        <v>250</v>
      </c>
      <c r="B16" s="260" t="s">
        <v>262</v>
      </c>
    </row>
    <row r="17" spans="1:2" ht="56" x14ac:dyDescent="0.3">
      <c r="A17" s="259" t="s">
        <v>105</v>
      </c>
      <c r="B17" s="261" t="s">
        <v>264</v>
      </c>
    </row>
    <row r="18" spans="1:2" ht="70" x14ac:dyDescent="0.3">
      <c r="A18" s="259" t="s">
        <v>11</v>
      </c>
      <c r="B18" s="260" t="s">
        <v>265</v>
      </c>
    </row>
    <row r="19" spans="1:2" ht="84" x14ac:dyDescent="0.3">
      <c r="A19" s="259" t="s">
        <v>253</v>
      </c>
      <c r="B19" s="258" t="s">
        <v>269</v>
      </c>
    </row>
    <row r="20" spans="1:2" ht="14" x14ac:dyDescent="0.3">
      <c r="A20" s="259" t="s">
        <v>251</v>
      </c>
      <c r="B20" s="260"/>
    </row>
    <row r="21" spans="1:2" ht="42" x14ac:dyDescent="0.3">
      <c r="A21" s="259" t="s">
        <v>14</v>
      </c>
      <c r="B21" s="260" t="s">
        <v>266</v>
      </c>
    </row>
    <row r="22" spans="1:2" ht="28" x14ac:dyDescent="0.3">
      <c r="A22" s="259" t="s">
        <v>254</v>
      </c>
      <c r="B22" s="260" t="s">
        <v>267</v>
      </c>
    </row>
    <row r="23" spans="1:2" ht="56" x14ac:dyDescent="0.3">
      <c r="A23" s="259" t="s">
        <v>15</v>
      </c>
      <c r="B23" s="260" t="s">
        <v>270</v>
      </c>
    </row>
  </sheetData>
  <mergeCells count="2">
    <mergeCell ref="A1:A3"/>
    <mergeCell ref="B1:B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FF00"/>
  </sheetPr>
  <dimension ref="A1:AX1015"/>
  <sheetViews>
    <sheetView topLeftCell="G5" zoomScale="55" zoomScaleNormal="55" workbookViewId="0">
      <selection activeCell="M5" sqref="M5"/>
    </sheetView>
  </sheetViews>
  <sheetFormatPr defaultColWidth="12.58203125" defaultRowHeight="15" customHeight="1" x14ac:dyDescent="0.3"/>
  <cols>
    <col min="1" max="1" width="4.5" customWidth="1"/>
    <col min="2" max="2" width="25.25" customWidth="1"/>
    <col min="3" max="3" width="20.83203125" hidden="1" customWidth="1"/>
    <col min="4" max="4" width="23.25" customWidth="1"/>
    <col min="5" max="5" width="12.08203125" customWidth="1"/>
    <col min="6" max="6" width="10" customWidth="1"/>
    <col min="7" max="7" width="9.75" customWidth="1"/>
    <col min="8" max="8" width="13.33203125" customWidth="1"/>
    <col min="9" max="9" width="13.25" customWidth="1"/>
    <col min="10" max="10" width="12.08203125" customWidth="1"/>
    <col min="11" max="11" width="7.58203125" customWidth="1"/>
    <col min="12" max="12" width="11" customWidth="1"/>
    <col min="13" max="13" width="14.58203125" customWidth="1"/>
    <col min="14" max="14" width="16.83203125" customWidth="1"/>
    <col min="15" max="15" width="11.58203125" customWidth="1"/>
    <col min="16" max="16" width="9.83203125" customWidth="1"/>
    <col min="17" max="17" width="9.25" customWidth="1"/>
    <col min="18" max="18" width="14.25" customWidth="1"/>
    <col min="19" max="19" width="9.08203125" bestFit="1" customWidth="1"/>
    <col min="20" max="20" width="7.58203125" customWidth="1"/>
    <col min="21" max="21" width="7.58203125" style="264" customWidth="1"/>
    <col min="22" max="22" width="14.83203125" style="264" customWidth="1"/>
    <col min="23" max="23" width="11.58203125" customWidth="1"/>
    <col min="24" max="24" width="13.58203125" customWidth="1"/>
    <col min="25" max="25" width="11" customWidth="1"/>
    <col min="26" max="26" width="11.58203125" customWidth="1"/>
    <col min="27" max="27" width="13.83203125" customWidth="1"/>
    <col min="28" max="28" width="22.58203125" customWidth="1"/>
    <col min="29" max="29" width="14.08203125" customWidth="1"/>
    <col min="30" max="30" width="7.58203125" customWidth="1"/>
    <col min="31" max="31" width="10" customWidth="1"/>
    <col min="32" max="32" width="8.58203125" bestFit="1" customWidth="1"/>
    <col min="33" max="33" width="7.58203125" customWidth="1"/>
    <col min="34" max="34" width="9.08203125" style="264" bestFit="1" customWidth="1"/>
    <col min="35" max="35" width="13.6640625" style="264" customWidth="1"/>
    <col min="36" max="36" width="10.83203125" customWidth="1"/>
    <col min="37" max="37" width="9.08203125" bestFit="1" customWidth="1"/>
    <col min="38" max="38" width="7.58203125" customWidth="1"/>
    <col min="39" max="39" width="8.58203125" style="264" bestFit="1" customWidth="1"/>
    <col min="40" max="40" width="16.5" style="264" customWidth="1"/>
    <col min="41" max="41" width="14.33203125" customWidth="1"/>
    <col min="42" max="43" width="7.58203125" customWidth="1"/>
    <col min="44" max="44" width="22" customWidth="1"/>
  </cols>
  <sheetData>
    <row r="1" spans="1:44" ht="14.25" customHeight="1" x14ac:dyDescent="0.3">
      <c r="A1" s="352" t="s">
        <v>0</v>
      </c>
      <c r="B1" s="352" t="s">
        <v>1</v>
      </c>
      <c r="C1" s="355" t="s">
        <v>2</v>
      </c>
      <c r="D1" s="382" t="s">
        <v>3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4"/>
      <c r="W1" s="377" t="s">
        <v>4</v>
      </c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2"/>
      <c r="AR1" s="374" t="s">
        <v>5</v>
      </c>
    </row>
    <row r="2" spans="1:44" ht="40.5" customHeight="1" x14ac:dyDescent="0.3">
      <c r="A2" s="353"/>
      <c r="B2" s="353"/>
      <c r="C2" s="353"/>
      <c r="D2" s="375" t="s">
        <v>6</v>
      </c>
      <c r="E2" s="375" t="s">
        <v>7</v>
      </c>
      <c r="F2" s="375" t="s">
        <v>8</v>
      </c>
      <c r="G2" s="375" t="s">
        <v>85</v>
      </c>
      <c r="H2" s="375" t="s">
        <v>86</v>
      </c>
      <c r="I2" s="375" t="s">
        <v>9</v>
      </c>
      <c r="J2" s="375" t="s">
        <v>7</v>
      </c>
      <c r="K2" s="375" t="s">
        <v>8</v>
      </c>
      <c r="L2" s="375" t="s">
        <v>85</v>
      </c>
      <c r="M2" s="375" t="s">
        <v>86</v>
      </c>
      <c r="N2" s="375" t="s">
        <v>10</v>
      </c>
      <c r="O2" s="375" t="s">
        <v>7</v>
      </c>
      <c r="P2" s="375" t="s">
        <v>8</v>
      </c>
      <c r="Q2" s="375" t="s">
        <v>85</v>
      </c>
      <c r="R2" s="375" t="s">
        <v>86</v>
      </c>
      <c r="S2" s="373" t="s">
        <v>11</v>
      </c>
      <c r="T2" s="372"/>
      <c r="U2" s="375" t="s">
        <v>85</v>
      </c>
      <c r="V2" s="375" t="s">
        <v>86</v>
      </c>
      <c r="W2" s="362" t="s">
        <v>12</v>
      </c>
      <c r="X2" s="362" t="s">
        <v>7</v>
      </c>
      <c r="Y2" s="362" t="s">
        <v>8</v>
      </c>
      <c r="Z2" s="362" t="s">
        <v>85</v>
      </c>
      <c r="AA2" s="362" t="s">
        <v>86</v>
      </c>
      <c r="AB2" s="362" t="s">
        <v>13</v>
      </c>
      <c r="AC2" s="362" t="s">
        <v>7</v>
      </c>
      <c r="AD2" s="362" t="s">
        <v>8</v>
      </c>
      <c r="AE2" s="362" t="s">
        <v>14</v>
      </c>
      <c r="AF2" s="362" t="s">
        <v>7</v>
      </c>
      <c r="AG2" s="362" t="s">
        <v>8</v>
      </c>
      <c r="AH2" s="362" t="s">
        <v>85</v>
      </c>
      <c r="AI2" s="362" t="s">
        <v>86</v>
      </c>
      <c r="AJ2" s="362" t="s">
        <v>15</v>
      </c>
      <c r="AK2" s="362" t="s">
        <v>7</v>
      </c>
      <c r="AL2" s="362" t="s">
        <v>8</v>
      </c>
      <c r="AM2" s="362" t="s">
        <v>85</v>
      </c>
      <c r="AN2" s="362" t="s">
        <v>86</v>
      </c>
      <c r="AO2" s="362" t="s">
        <v>16</v>
      </c>
      <c r="AP2" s="362" t="s">
        <v>7</v>
      </c>
      <c r="AQ2" s="362" t="s">
        <v>8</v>
      </c>
      <c r="AR2" s="353"/>
    </row>
    <row r="3" spans="1:44" ht="14.25" customHeight="1" x14ac:dyDescent="0.3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1" t="s">
        <v>17</v>
      </c>
      <c r="T3" s="1" t="s">
        <v>8</v>
      </c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</row>
    <row r="4" spans="1:44" ht="14.25" customHeight="1" x14ac:dyDescent="0.3">
      <c r="A4" s="378">
        <v>1</v>
      </c>
      <c r="B4" s="358" t="s">
        <v>18</v>
      </c>
      <c r="C4" s="2" t="s">
        <v>19</v>
      </c>
      <c r="D4" s="3" t="s">
        <v>20</v>
      </c>
      <c r="E4" s="42">
        <f>'Unit Fungsi'!E4</f>
        <v>9.0327994274291078E-5</v>
      </c>
      <c r="F4" s="61" t="s">
        <v>199</v>
      </c>
      <c r="G4" s="51">
        <f>CF!I3</f>
        <v>5.3700000000000004E-5</v>
      </c>
      <c r="H4" s="70">
        <f>E4*G4</f>
        <v>4.8506132925294315E-9</v>
      </c>
      <c r="I4" s="5" t="s">
        <v>22</v>
      </c>
      <c r="J4" s="43">
        <f>'Unit Fungsi'!H4</f>
        <v>5.2029606346859013E-2</v>
      </c>
      <c r="K4" s="18" t="s">
        <v>203</v>
      </c>
      <c r="L4" s="44">
        <f>CF!I7</f>
        <v>6.3500000000000004E-4</v>
      </c>
      <c r="M4" s="52">
        <f>J4*L4</f>
        <v>3.3038800030255474E-5</v>
      </c>
      <c r="N4" s="7"/>
      <c r="O4" s="7"/>
      <c r="P4" s="7"/>
      <c r="Q4" s="7"/>
      <c r="R4" s="7"/>
      <c r="S4" s="7"/>
      <c r="T4" s="7"/>
      <c r="U4" s="24"/>
      <c r="V4" s="24"/>
      <c r="W4" s="8" t="s">
        <v>24</v>
      </c>
      <c r="X4" s="44">
        <f>'Unit Fungsi'!P4</f>
        <v>2.6537937215426107E-4</v>
      </c>
      <c r="Y4" s="20" t="s">
        <v>205</v>
      </c>
      <c r="Z4" s="53">
        <f>CF!I21</f>
        <v>2.7099999999999997E-4</v>
      </c>
      <c r="AA4" s="54">
        <f t="shared" ref="AA4:AA6" si="0">X4*Z4</f>
        <v>7.1917809853804742E-8</v>
      </c>
      <c r="AB4" s="10" t="s">
        <v>26</v>
      </c>
      <c r="AC4" s="42">
        <f>'Unit Fungsi'!S4</f>
        <v>6.4818322919460664E-5</v>
      </c>
      <c r="AD4" s="11" t="s">
        <v>27</v>
      </c>
      <c r="AE4" s="12"/>
      <c r="AF4" s="12"/>
      <c r="AG4" s="12"/>
      <c r="AH4" s="12"/>
      <c r="AI4" s="12"/>
      <c r="AJ4" s="13"/>
      <c r="AK4" s="13"/>
      <c r="AL4" s="13"/>
      <c r="AM4" s="13"/>
      <c r="AN4" s="13"/>
      <c r="AO4" s="13"/>
      <c r="AP4" s="13"/>
      <c r="AQ4" s="13"/>
      <c r="AR4" s="14"/>
    </row>
    <row r="5" spans="1:44" ht="14.25" customHeight="1" x14ac:dyDescent="0.3">
      <c r="A5" s="353"/>
      <c r="B5" s="353"/>
      <c r="C5" s="15" t="s">
        <v>28</v>
      </c>
      <c r="D5" s="7"/>
      <c r="E5" s="45"/>
      <c r="F5" s="25"/>
      <c r="G5" s="16"/>
      <c r="H5" s="16"/>
      <c r="I5" s="7"/>
      <c r="J5" s="45"/>
      <c r="K5" s="25"/>
      <c r="L5" s="16"/>
      <c r="M5" s="16"/>
      <c r="N5" s="7"/>
      <c r="O5" s="7"/>
      <c r="P5" s="7"/>
      <c r="Q5" s="7"/>
      <c r="R5" s="7"/>
      <c r="S5" s="7"/>
      <c r="T5" s="7"/>
      <c r="U5" s="24"/>
      <c r="V5" s="24"/>
      <c r="W5" s="17" t="s">
        <v>29</v>
      </c>
      <c r="X5" s="44">
        <f>'Unit Fungsi'!P5</f>
        <v>4.0355203274750791E-3</v>
      </c>
      <c r="Y5" s="18" t="s">
        <v>206</v>
      </c>
      <c r="Z5" s="55">
        <f>CF!I22</f>
        <v>2.2200000000000002E-3</v>
      </c>
      <c r="AA5" s="56">
        <f t="shared" si="0"/>
        <v>8.9588551269946758E-6</v>
      </c>
      <c r="AB5" s="7"/>
      <c r="AC5" s="16"/>
      <c r="AD5" s="7"/>
      <c r="AE5" s="7"/>
      <c r="AF5" s="7"/>
      <c r="AG5" s="7"/>
      <c r="AH5" s="24"/>
      <c r="AI5" s="24"/>
      <c r="AJ5" s="13"/>
      <c r="AK5" s="13"/>
      <c r="AL5" s="13"/>
      <c r="AM5" s="13"/>
      <c r="AN5" s="13"/>
      <c r="AO5" s="13"/>
      <c r="AP5" s="13"/>
      <c r="AQ5" s="13"/>
      <c r="AR5" s="14"/>
    </row>
    <row r="6" spans="1:44" ht="14.25" customHeight="1" x14ac:dyDescent="0.3">
      <c r="A6" s="353"/>
      <c r="B6" s="353"/>
      <c r="C6" s="15"/>
      <c r="D6" s="7"/>
      <c r="E6" s="45"/>
      <c r="F6" s="25"/>
      <c r="G6" s="16"/>
      <c r="H6" s="16"/>
      <c r="I6" s="7"/>
      <c r="J6" s="45"/>
      <c r="K6" s="25"/>
      <c r="L6" s="16"/>
      <c r="M6" s="16"/>
      <c r="N6" s="7"/>
      <c r="O6" s="7"/>
      <c r="P6" s="7"/>
      <c r="Q6" s="7"/>
      <c r="R6" s="7"/>
      <c r="S6" s="7"/>
      <c r="T6" s="7"/>
      <c r="U6" s="24"/>
      <c r="V6" s="24"/>
      <c r="W6" s="17" t="s">
        <v>31</v>
      </c>
      <c r="X6" s="44">
        <f>'Unit Fungsi'!P6</f>
        <v>0.15772065669418306</v>
      </c>
      <c r="Y6" s="18" t="s">
        <v>207</v>
      </c>
      <c r="Z6" s="55">
        <f>CF!I23</f>
        <v>9.4300000000000004E-4</v>
      </c>
      <c r="AA6" s="56">
        <f t="shared" si="0"/>
        <v>1.4873057926261462E-4</v>
      </c>
      <c r="AB6" s="7"/>
      <c r="AC6" s="16"/>
      <c r="AD6" s="7"/>
      <c r="AE6" s="7"/>
      <c r="AF6" s="7"/>
      <c r="AG6" s="7"/>
      <c r="AH6" s="24"/>
      <c r="AI6" s="24"/>
      <c r="AJ6" s="13"/>
      <c r="AK6" s="13"/>
      <c r="AL6" s="13"/>
      <c r="AM6" s="13"/>
      <c r="AN6" s="13"/>
      <c r="AO6" s="13"/>
      <c r="AP6" s="13"/>
      <c r="AQ6" s="13"/>
      <c r="AR6" s="14"/>
    </row>
    <row r="7" spans="1:44" ht="14.25" customHeight="1" x14ac:dyDescent="0.3">
      <c r="A7" s="354"/>
      <c r="B7" s="354"/>
      <c r="C7" s="15"/>
      <c r="D7" s="7"/>
      <c r="E7" s="45"/>
      <c r="F7" s="25"/>
      <c r="G7" s="16"/>
      <c r="H7" s="16"/>
      <c r="I7" s="7"/>
      <c r="J7" s="45"/>
      <c r="K7" s="25"/>
      <c r="L7" s="16"/>
      <c r="M7" s="16"/>
      <c r="N7" s="7"/>
      <c r="O7" s="7"/>
      <c r="P7" s="7"/>
      <c r="Q7" s="7"/>
      <c r="R7" s="7"/>
      <c r="S7" s="7"/>
      <c r="T7" s="7"/>
      <c r="U7" s="24"/>
      <c r="V7" s="24"/>
      <c r="W7" s="7"/>
      <c r="X7" s="46"/>
      <c r="Y7" s="25"/>
      <c r="Z7" s="16"/>
      <c r="AA7" s="16"/>
      <c r="AB7" s="7"/>
      <c r="AC7" s="16"/>
      <c r="AD7" s="7"/>
      <c r="AE7" s="7"/>
      <c r="AF7" s="7"/>
      <c r="AG7" s="7"/>
      <c r="AH7" s="24"/>
      <c r="AI7" s="24"/>
      <c r="AJ7" s="13"/>
      <c r="AK7" s="13"/>
      <c r="AL7" s="13"/>
      <c r="AM7" s="13"/>
      <c r="AN7" s="13"/>
      <c r="AO7" s="13"/>
      <c r="AP7" s="13"/>
      <c r="AQ7" s="13"/>
      <c r="AR7" s="14"/>
    </row>
    <row r="8" spans="1:44" ht="14.25" customHeight="1" x14ac:dyDescent="0.3">
      <c r="A8" s="356">
        <v>2</v>
      </c>
      <c r="B8" s="379" t="s">
        <v>33</v>
      </c>
      <c r="C8" s="2" t="s">
        <v>19</v>
      </c>
      <c r="D8" s="5" t="s">
        <v>34</v>
      </c>
      <c r="E8" s="43">
        <f>'Unit Fungsi'!E8</f>
        <v>0.26383552526843329</v>
      </c>
      <c r="F8" s="18" t="s">
        <v>200</v>
      </c>
      <c r="G8" s="55">
        <f>CF!I4</f>
        <v>5.3700000000000004E-5</v>
      </c>
      <c r="H8" s="73">
        <f>E8*G8</f>
        <v>1.4167967706914869E-5</v>
      </c>
      <c r="I8" s="5" t="s">
        <v>22</v>
      </c>
      <c r="J8" s="43">
        <f>'Unit Fungsi'!H8</f>
        <v>0.36838263291716555</v>
      </c>
      <c r="K8" s="18" t="s">
        <v>203</v>
      </c>
      <c r="L8" s="44">
        <f>L4</f>
        <v>6.3500000000000004E-4</v>
      </c>
      <c r="M8" s="52">
        <f>J8*L8</f>
        <v>2.3392297190240015E-4</v>
      </c>
      <c r="N8" s="7"/>
      <c r="O8" s="7"/>
      <c r="P8" s="7"/>
      <c r="Q8" s="7"/>
      <c r="R8" s="7"/>
      <c r="S8" s="7"/>
      <c r="T8" s="7"/>
      <c r="U8" s="24"/>
      <c r="V8" s="24"/>
      <c r="W8" s="8" t="s">
        <v>24</v>
      </c>
      <c r="X8" s="44">
        <f>'Unit Fungsi'!P8</f>
        <v>1.8789523638591357E-3</v>
      </c>
      <c r="Y8" s="20" t="s">
        <v>205</v>
      </c>
      <c r="Z8" s="53">
        <f t="shared" ref="Z8:Z10" si="1">Z4</f>
        <v>2.7099999999999997E-4</v>
      </c>
      <c r="AA8" s="54">
        <f t="shared" ref="AA8:AA10" si="2">X8*Z8</f>
        <v>5.0919609060582574E-7</v>
      </c>
      <c r="AB8" s="19" t="s">
        <v>34</v>
      </c>
      <c r="AC8" s="43">
        <f>'Unit Fungsi'!S8</f>
        <v>0.26383552526843329</v>
      </c>
      <c r="AD8" s="20" t="s">
        <v>35</v>
      </c>
      <c r="AE8" s="7"/>
      <c r="AF8" s="7"/>
      <c r="AG8" s="7"/>
      <c r="AH8" s="24"/>
      <c r="AI8" s="24"/>
      <c r="AJ8" s="13"/>
      <c r="AK8" s="13"/>
      <c r="AL8" s="13"/>
      <c r="AM8" s="13"/>
      <c r="AN8" s="13"/>
      <c r="AO8" s="13"/>
      <c r="AP8" s="13"/>
      <c r="AQ8" s="13"/>
      <c r="AR8" s="14"/>
    </row>
    <row r="9" spans="1:44" ht="14.25" customHeight="1" x14ac:dyDescent="0.3">
      <c r="A9" s="353"/>
      <c r="B9" s="353"/>
      <c r="C9" s="2" t="s">
        <v>36</v>
      </c>
      <c r="D9" s="7"/>
      <c r="E9" s="45"/>
      <c r="F9" s="25"/>
      <c r="G9" s="16"/>
      <c r="H9" s="16"/>
      <c r="I9" s="7"/>
      <c r="J9" s="45"/>
      <c r="K9" s="25"/>
      <c r="L9" s="16"/>
      <c r="M9" s="16"/>
      <c r="N9" s="7"/>
      <c r="O9" s="7"/>
      <c r="P9" s="7"/>
      <c r="Q9" s="7"/>
      <c r="R9" s="7"/>
      <c r="S9" s="7"/>
      <c r="T9" s="7"/>
      <c r="U9" s="24"/>
      <c r="V9" s="24"/>
      <c r="W9" s="17" t="s">
        <v>29</v>
      </c>
      <c r="X9" s="44">
        <f>'Unit Fungsi'!P9</f>
        <v>2.8572493774321198E-2</v>
      </c>
      <c r="Y9" s="18" t="s">
        <v>206</v>
      </c>
      <c r="Z9" s="55">
        <f t="shared" si="1"/>
        <v>2.2200000000000002E-3</v>
      </c>
      <c r="AA9" s="56">
        <f t="shared" si="2"/>
        <v>6.3430936178993059E-5</v>
      </c>
      <c r="AB9" s="21"/>
      <c r="AC9" s="16"/>
      <c r="AD9" s="21"/>
      <c r="AE9" s="7"/>
      <c r="AF9" s="7"/>
      <c r="AG9" s="7"/>
      <c r="AH9" s="24"/>
      <c r="AI9" s="24"/>
      <c r="AJ9" s="13"/>
      <c r="AK9" s="13"/>
      <c r="AL9" s="13"/>
      <c r="AM9" s="13"/>
      <c r="AN9" s="13"/>
      <c r="AO9" s="13"/>
      <c r="AP9" s="13"/>
      <c r="AQ9" s="13"/>
      <c r="AR9" s="14"/>
    </row>
    <row r="10" spans="1:44" ht="14.25" customHeight="1" x14ac:dyDescent="0.3">
      <c r="A10" s="353"/>
      <c r="B10" s="353"/>
      <c r="C10" s="2"/>
      <c r="D10" s="7"/>
      <c r="E10" s="45"/>
      <c r="F10" s="25"/>
      <c r="G10" s="16"/>
      <c r="H10" s="16"/>
      <c r="I10" s="7"/>
      <c r="J10" s="45"/>
      <c r="K10" s="25"/>
      <c r="L10" s="16"/>
      <c r="M10" s="16"/>
      <c r="N10" s="7"/>
      <c r="O10" s="7"/>
      <c r="P10" s="7"/>
      <c r="Q10" s="7"/>
      <c r="R10" s="7"/>
      <c r="S10" s="7"/>
      <c r="T10" s="7"/>
      <c r="U10" s="24"/>
      <c r="V10" s="24"/>
      <c r="W10" s="17" t="s">
        <v>31</v>
      </c>
      <c r="X10" s="44">
        <f>'Unit Fungsi'!P10</f>
        <v>1.1167017176929894</v>
      </c>
      <c r="Y10" s="18" t="s">
        <v>207</v>
      </c>
      <c r="Z10" s="55">
        <f t="shared" si="1"/>
        <v>9.4300000000000004E-4</v>
      </c>
      <c r="AA10" s="56">
        <f t="shared" si="2"/>
        <v>1.0530497197844891E-3</v>
      </c>
      <c r="AB10" s="21"/>
      <c r="AC10" s="16"/>
      <c r="AD10" s="21"/>
      <c r="AE10" s="7"/>
      <c r="AF10" s="7"/>
      <c r="AG10" s="7"/>
      <c r="AH10" s="24"/>
      <c r="AI10" s="24"/>
      <c r="AJ10" s="13"/>
      <c r="AK10" s="13"/>
      <c r="AL10" s="13"/>
      <c r="AM10" s="13"/>
      <c r="AN10" s="13"/>
      <c r="AO10" s="13"/>
      <c r="AP10" s="13"/>
      <c r="AQ10" s="13"/>
      <c r="AR10" s="14"/>
    </row>
    <row r="11" spans="1:44" ht="14.25" customHeight="1" x14ac:dyDescent="0.3">
      <c r="A11" s="354"/>
      <c r="B11" s="354"/>
      <c r="C11" s="2"/>
      <c r="D11" s="7"/>
      <c r="E11" s="45"/>
      <c r="F11" s="25"/>
      <c r="G11" s="16"/>
      <c r="H11" s="16"/>
      <c r="I11" s="7"/>
      <c r="J11" s="45"/>
      <c r="K11" s="25"/>
      <c r="L11" s="16"/>
      <c r="M11" s="16"/>
      <c r="N11" s="7"/>
      <c r="O11" s="7"/>
      <c r="P11" s="7"/>
      <c r="Q11" s="7"/>
      <c r="R11" s="7"/>
      <c r="S11" s="7"/>
      <c r="T11" s="7"/>
      <c r="U11" s="24"/>
      <c r="V11" s="24"/>
      <c r="W11" s="21"/>
      <c r="X11" s="46"/>
      <c r="Y11" s="22"/>
      <c r="Z11" s="22"/>
      <c r="AA11" s="22"/>
      <c r="AB11" s="21"/>
      <c r="AC11" s="16"/>
      <c r="AD11" s="21"/>
      <c r="AE11" s="7"/>
      <c r="AF11" s="7"/>
      <c r="AG11" s="7"/>
      <c r="AH11" s="24"/>
      <c r="AI11" s="24"/>
      <c r="AJ11" s="13"/>
      <c r="AK11" s="13"/>
      <c r="AL11" s="13"/>
      <c r="AM11" s="13"/>
      <c r="AN11" s="13"/>
      <c r="AO11" s="13"/>
      <c r="AP11" s="13"/>
      <c r="AQ11" s="13"/>
      <c r="AR11" s="14"/>
    </row>
    <row r="12" spans="1:44" ht="14.25" customHeight="1" x14ac:dyDescent="0.3">
      <c r="A12" s="356">
        <v>3</v>
      </c>
      <c r="B12" s="379" t="s">
        <v>37</v>
      </c>
      <c r="C12" s="10" t="s">
        <v>38</v>
      </c>
      <c r="D12" s="5" t="s">
        <v>39</v>
      </c>
      <c r="E12" s="47">
        <f>'Unit Fungsi'!E12</f>
        <v>24.839966543981944</v>
      </c>
      <c r="F12" s="58" t="s">
        <v>201</v>
      </c>
      <c r="G12" s="58">
        <v>0</v>
      </c>
      <c r="H12" s="59">
        <f>E12*G12</f>
        <v>0</v>
      </c>
      <c r="I12" s="5" t="s">
        <v>22</v>
      </c>
      <c r="J12" s="43">
        <f>'Unit Fungsi'!H12</f>
        <v>8.9641777063480463E-2</v>
      </c>
      <c r="K12" s="18" t="s">
        <v>203</v>
      </c>
      <c r="L12" s="44">
        <f>L4</f>
        <v>6.3500000000000004E-4</v>
      </c>
      <c r="M12" s="52">
        <f>J12*L12</f>
        <v>5.6922528435310099E-5</v>
      </c>
      <c r="N12" s="10" t="s">
        <v>41</v>
      </c>
      <c r="O12" s="48">
        <f>'Unit Fungsi'!K12</f>
        <v>2.5838915890496632E-2</v>
      </c>
      <c r="P12" s="18" t="s">
        <v>203</v>
      </c>
      <c r="Q12" s="18">
        <v>0</v>
      </c>
      <c r="R12" s="60">
        <f t="shared" ref="R12:R16" si="3">O12*Q12</f>
        <v>0</v>
      </c>
      <c r="S12" s="7"/>
      <c r="T12" s="7"/>
      <c r="U12" s="24"/>
      <c r="V12" s="24"/>
      <c r="W12" s="8" t="s">
        <v>24</v>
      </c>
      <c r="X12" s="44">
        <f>'Unit Fungsi'!P12</f>
        <v>4.572219585385123E-4</v>
      </c>
      <c r="Y12" s="20" t="s">
        <v>205</v>
      </c>
      <c r="Z12" s="53">
        <f t="shared" ref="Z12:Z14" si="4">Z4</f>
        <v>2.7099999999999997E-4</v>
      </c>
      <c r="AA12" s="54">
        <f t="shared" ref="AA12:AA14" si="5">X12*Z12</f>
        <v>1.2390715076393683E-7</v>
      </c>
      <c r="AB12" s="19" t="s">
        <v>43</v>
      </c>
      <c r="AC12" s="49">
        <f>'Unit Fungsi'!S12</f>
        <v>22.057890291055969</v>
      </c>
      <c r="AD12" s="20" t="s">
        <v>40</v>
      </c>
      <c r="AE12" s="7"/>
      <c r="AF12" s="7"/>
      <c r="AG12" s="7"/>
      <c r="AH12" s="24"/>
      <c r="AI12" s="24"/>
      <c r="AJ12" s="13"/>
      <c r="AK12" s="13"/>
      <c r="AL12" s="13"/>
      <c r="AM12" s="13"/>
      <c r="AN12" s="13"/>
      <c r="AO12" s="13"/>
      <c r="AP12" s="13"/>
      <c r="AQ12" s="13"/>
      <c r="AR12" s="14"/>
    </row>
    <row r="13" spans="1:44" ht="14.25" customHeight="1" x14ac:dyDescent="0.3">
      <c r="A13" s="353"/>
      <c r="B13" s="353"/>
      <c r="C13" s="10"/>
      <c r="D13" s="7"/>
      <c r="E13" s="45"/>
      <c r="F13" s="25"/>
      <c r="G13" s="16"/>
      <c r="H13" s="16"/>
      <c r="I13" s="7"/>
      <c r="J13" s="45"/>
      <c r="K13" s="25"/>
      <c r="L13" s="16"/>
      <c r="M13" s="16"/>
      <c r="N13" s="10" t="s">
        <v>44</v>
      </c>
      <c r="O13" s="48">
        <f>'Unit Fungsi'!K13</f>
        <v>3.4478466078456207E-3</v>
      </c>
      <c r="P13" s="18" t="s">
        <v>203</v>
      </c>
      <c r="Q13" s="18">
        <v>0</v>
      </c>
      <c r="R13" s="60">
        <f t="shared" si="3"/>
        <v>0</v>
      </c>
      <c r="S13" s="7"/>
      <c r="T13" s="7"/>
      <c r="U13" s="24"/>
      <c r="V13" s="24"/>
      <c r="W13" s="17" t="s">
        <v>29</v>
      </c>
      <c r="X13" s="44">
        <f>'Unit Fungsi'!P13</f>
        <v>6.9527955125976721E-3</v>
      </c>
      <c r="Y13" s="18" t="s">
        <v>206</v>
      </c>
      <c r="Z13" s="55">
        <f t="shared" si="4"/>
        <v>2.2200000000000002E-3</v>
      </c>
      <c r="AA13" s="56">
        <f t="shared" si="5"/>
        <v>1.5435206037966833E-5</v>
      </c>
      <c r="AB13" s="7"/>
      <c r="AC13" s="16"/>
      <c r="AD13" s="7"/>
      <c r="AE13" s="7"/>
      <c r="AF13" s="7"/>
      <c r="AG13" s="7"/>
      <c r="AH13" s="24"/>
      <c r="AI13" s="24"/>
      <c r="AJ13" s="13"/>
      <c r="AK13" s="13"/>
      <c r="AL13" s="13"/>
      <c r="AM13" s="13"/>
      <c r="AN13" s="13"/>
      <c r="AO13" s="13"/>
      <c r="AP13" s="13"/>
      <c r="AQ13" s="13"/>
      <c r="AR13" s="14"/>
    </row>
    <row r="14" spans="1:44" ht="14.25" customHeight="1" x14ac:dyDescent="0.3">
      <c r="A14" s="353"/>
      <c r="B14" s="353"/>
      <c r="C14" s="10"/>
      <c r="D14" s="7"/>
      <c r="E14" s="45"/>
      <c r="F14" s="25"/>
      <c r="G14" s="16"/>
      <c r="H14" s="16"/>
      <c r="I14" s="7"/>
      <c r="J14" s="45"/>
      <c r="K14" s="25"/>
      <c r="L14" s="16"/>
      <c r="M14" s="16"/>
      <c r="N14" s="10" t="s">
        <v>45</v>
      </c>
      <c r="O14" s="48">
        <f>'Unit Fungsi'!K14</f>
        <v>0.71937191858710159</v>
      </c>
      <c r="P14" s="61" t="s">
        <v>203</v>
      </c>
      <c r="Q14" s="61">
        <v>0</v>
      </c>
      <c r="R14" s="60">
        <f t="shared" si="3"/>
        <v>0</v>
      </c>
      <c r="S14" s="7"/>
      <c r="T14" s="7"/>
      <c r="U14" s="24"/>
      <c r="V14" s="24"/>
      <c r="W14" s="17" t="s">
        <v>31</v>
      </c>
      <c r="X14" s="44">
        <f>'Unit Fungsi'!P14</f>
        <v>0.27173682328925053</v>
      </c>
      <c r="Y14" s="18" t="s">
        <v>207</v>
      </c>
      <c r="Z14" s="55">
        <f t="shared" si="4"/>
        <v>9.4300000000000004E-4</v>
      </c>
      <c r="AA14" s="56">
        <f t="shared" si="5"/>
        <v>2.5624782436176323E-4</v>
      </c>
      <c r="AB14" s="7"/>
      <c r="AC14" s="16"/>
      <c r="AD14" s="7"/>
      <c r="AE14" s="7"/>
      <c r="AF14" s="7"/>
      <c r="AG14" s="7"/>
      <c r="AH14" s="24"/>
      <c r="AI14" s="24"/>
      <c r="AJ14" s="13"/>
      <c r="AK14" s="13"/>
      <c r="AL14" s="13"/>
      <c r="AM14" s="13"/>
      <c r="AN14" s="13"/>
      <c r="AO14" s="13"/>
      <c r="AP14" s="13"/>
      <c r="AQ14" s="13"/>
      <c r="AR14" s="14"/>
    </row>
    <row r="15" spans="1:44" ht="14.25" customHeight="1" x14ac:dyDescent="0.3">
      <c r="A15" s="353"/>
      <c r="B15" s="353"/>
      <c r="C15" s="10"/>
      <c r="D15" s="7"/>
      <c r="E15" s="45"/>
      <c r="F15" s="25"/>
      <c r="G15" s="16"/>
      <c r="H15" s="16"/>
      <c r="I15" s="7"/>
      <c r="J15" s="45"/>
      <c r="K15" s="25"/>
      <c r="L15" s="16"/>
      <c r="M15" s="16"/>
      <c r="N15" s="10" t="s">
        <v>46</v>
      </c>
      <c r="O15" s="48">
        <f>'Unit Fungsi'!K15</f>
        <v>1.0797875586246475</v>
      </c>
      <c r="P15" s="61" t="s">
        <v>203</v>
      </c>
      <c r="Q15" s="61">
        <v>0</v>
      </c>
      <c r="R15" s="60">
        <f t="shared" si="3"/>
        <v>0</v>
      </c>
      <c r="S15" s="7"/>
      <c r="T15" s="7"/>
      <c r="U15" s="24"/>
      <c r="V15" s="24"/>
      <c r="W15" s="24"/>
      <c r="X15" s="16"/>
      <c r="Y15" s="25"/>
      <c r="Z15" s="25"/>
      <c r="AA15" s="25"/>
      <c r="AB15" s="7"/>
      <c r="AC15" s="16"/>
      <c r="AD15" s="7"/>
      <c r="AE15" s="7"/>
      <c r="AF15" s="7"/>
      <c r="AG15" s="7"/>
      <c r="AH15" s="24"/>
      <c r="AI15" s="24"/>
      <c r="AJ15" s="13"/>
      <c r="AK15" s="13"/>
      <c r="AL15" s="13"/>
      <c r="AM15" s="13"/>
      <c r="AN15" s="13"/>
      <c r="AO15" s="13"/>
      <c r="AP15" s="13"/>
      <c r="AQ15" s="13"/>
      <c r="AR15" s="14"/>
    </row>
    <row r="16" spans="1:44" ht="14.25" customHeight="1" x14ac:dyDescent="0.3">
      <c r="A16" s="353"/>
      <c r="B16" s="353"/>
      <c r="C16" s="10"/>
      <c r="D16" s="7"/>
      <c r="E16" s="45"/>
      <c r="F16" s="25"/>
      <c r="G16" s="16"/>
      <c r="H16" s="16"/>
      <c r="I16" s="7"/>
      <c r="J16" s="45"/>
      <c r="K16" s="25"/>
      <c r="L16" s="16"/>
      <c r="M16" s="16"/>
      <c r="N16" s="3" t="s">
        <v>47</v>
      </c>
      <c r="O16" s="48">
        <f>'Unit Fungsi'!K16</f>
        <v>3.1853188397032023E-2</v>
      </c>
      <c r="P16" s="61" t="s">
        <v>204</v>
      </c>
      <c r="Q16" s="61">
        <v>0</v>
      </c>
      <c r="R16" s="60">
        <f t="shared" si="3"/>
        <v>0</v>
      </c>
      <c r="S16" s="7"/>
      <c r="T16" s="7"/>
      <c r="U16" s="24"/>
      <c r="V16" s="24"/>
      <c r="W16" s="24"/>
      <c r="X16" s="16"/>
      <c r="Y16" s="25"/>
      <c r="Z16" s="25"/>
      <c r="AA16" s="25"/>
      <c r="AB16" s="7"/>
      <c r="AC16" s="16"/>
      <c r="AD16" s="7"/>
      <c r="AE16" s="7"/>
      <c r="AF16" s="7"/>
      <c r="AG16" s="7"/>
      <c r="AH16" s="24"/>
      <c r="AI16" s="24"/>
      <c r="AJ16" s="13"/>
      <c r="AK16" s="13"/>
      <c r="AL16" s="13"/>
      <c r="AM16" s="13"/>
      <c r="AN16" s="13"/>
      <c r="AO16" s="13"/>
      <c r="AP16" s="13"/>
      <c r="AQ16" s="13"/>
      <c r="AR16" s="14"/>
    </row>
    <row r="17" spans="1:44" ht="14.25" customHeight="1" x14ac:dyDescent="0.35">
      <c r="A17" s="354"/>
      <c r="B17" s="354"/>
      <c r="C17" s="10"/>
      <c r="D17" s="7"/>
      <c r="E17" s="45"/>
      <c r="F17" s="25"/>
      <c r="G17" s="16"/>
      <c r="H17" s="16"/>
      <c r="I17" s="7"/>
      <c r="J17" s="45"/>
      <c r="K17" s="25"/>
      <c r="L17" s="16"/>
      <c r="M17" s="16"/>
      <c r="N17" s="26"/>
      <c r="O17" s="26"/>
      <c r="P17" s="26"/>
      <c r="Q17" s="26"/>
      <c r="R17" s="26"/>
      <c r="S17" s="7"/>
      <c r="T17" s="7"/>
      <c r="U17" s="24"/>
      <c r="V17" s="24"/>
      <c r="W17" s="7"/>
      <c r="X17" s="16"/>
      <c r="Y17" s="25"/>
      <c r="Z17" s="16"/>
      <c r="AA17" s="16"/>
      <c r="AB17" s="7"/>
      <c r="AC17" s="16"/>
      <c r="AD17" s="7"/>
      <c r="AE17" s="7"/>
      <c r="AF17" s="7"/>
      <c r="AG17" s="7"/>
      <c r="AH17" s="24"/>
      <c r="AI17" s="24"/>
      <c r="AJ17" s="13"/>
      <c r="AK17" s="13"/>
      <c r="AL17" s="13"/>
      <c r="AM17" s="13"/>
      <c r="AN17" s="13"/>
      <c r="AO17" s="13"/>
      <c r="AP17" s="13"/>
      <c r="AQ17" s="13"/>
      <c r="AR17" s="14"/>
    </row>
    <row r="18" spans="1:44" ht="14.25" customHeight="1" x14ac:dyDescent="0.3">
      <c r="A18" s="378">
        <v>4</v>
      </c>
      <c r="B18" s="358" t="s">
        <v>49</v>
      </c>
      <c r="C18" s="14" t="s">
        <v>19</v>
      </c>
      <c r="D18" s="5" t="s">
        <v>50</v>
      </c>
      <c r="E18" s="43">
        <f>'Unit Fungsi'!E18</f>
        <v>24.839966543981944</v>
      </c>
      <c r="F18" s="18" t="s">
        <v>201</v>
      </c>
      <c r="G18" s="18">
        <v>0</v>
      </c>
      <c r="H18" s="60">
        <f>E18*G18</f>
        <v>0</v>
      </c>
      <c r="I18" s="3" t="s">
        <v>22</v>
      </c>
      <c r="J18" s="50">
        <f>'Unit Fungsi'!H18</f>
        <v>9.197851763478754</v>
      </c>
      <c r="K18" s="18" t="s">
        <v>203</v>
      </c>
      <c r="L18" s="51">
        <f>L4</f>
        <v>6.3500000000000004E-4</v>
      </c>
      <c r="M18" s="52">
        <f>J18*L18</f>
        <v>5.8406358698090089E-3</v>
      </c>
      <c r="N18" s="7"/>
      <c r="O18" s="7"/>
      <c r="P18" s="7"/>
      <c r="Q18" s="7"/>
      <c r="R18" s="7"/>
      <c r="S18" s="7"/>
      <c r="T18" s="7"/>
      <c r="U18" s="24"/>
      <c r="V18" s="24"/>
      <c r="W18" s="8" t="s">
        <v>24</v>
      </c>
      <c r="X18" s="44">
        <f>'Unit Fungsi'!P18</f>
        <v>4.6914061003794451E-2</v>
      </c>
      <c r="Y18" s="20" t="s">
        <v>205</v>
      </c>
      <c r="Z18" s="53">
        <f t="shared" ref="Z18:Z20" si="6">Z4</f>
        <v>2.7099999999999997E-4</v>
      </c>
      <c r="AA18" s="54">
        <f t="shared" ref="AA18:AA20" si="7">X18*Z18</f>
        <v>1.2713710532028295E-5</v>
      </c>
      <c r="AB18" s="5" t="s">
        <v>50</v>
      </c>
      <c r="AC18" s="43">
        <f>'Unit Fungsi'!S18</f>
        <v>24.839966543981944</v>
      </c>
      <c r="AD18" s="6" t="s">
        <v>40</v>
      </c>
      <c r="AE18" s="7"/>
      <c r="AF18" s="7"/>
      <c r="AG18" s="7"/>
      <c r="AH18" s="24"/>
      <c r="AI18" s="24"/>
      <c r="AJ18" s="13"/>
      <c r="AK18" s="13"/>
      <c r="AL18" s="13"/>
      <c r="AM18" s="13"/>
      <c r="AN18" s="13"/>
      <c r="AO18" s="13"/>
      <c r="AP18" s="13"/>
      <c r="AQ18" s="13"/>
      <c r="AR18" s="14"/>
    </row>
    <row r="19" spans="1:44" ht="14.25" customHeight="1" x14ac:dyDescent="0.3">
      <c r="A19" s="353"/>
      <c r="B19" s="353"/>
      <c r="C19" s="14" t="s">
        <v>51</v>
      </c>
      <c r="D19" s="7"/>
      <c r="E19" s="16"/>
      <c r="F19" s="25"/>
      <c r="G19" s="16"/>
      <c r="H19" s="16"/>
      <c r="I19" s="7"/>
      <c r="J19" s="45"/>
      <c r="K19" s="25"/>
      <c r="L19" s="16"/>
      <c r="M19" s="16"/>
      <c r="N19" s="7"/>
      <c r="O19" s="7"/>
      <c r="P19" s="7"/>
      <c r="Q19" s="7"/>
      <c r="R19" s="7"/>
      <c r="S19" s="7"/>
      <c r="T19" s="7"/>
      <c r="U19" s="24"/>
      <c r="V19" s="24"/>
      <c r="W19" s="17" t="s">
        <v>29</v>
      </c>
      <c r="X19" s="44">
        <f>'Unit Fungsi'!P19</f>
        <v>0.7134037784789391</v>
      </c>
      <c r="Y19" s="18" t="s">
        <v>206</v>
      </c>
      <c r="Z19" s="55">
        <f t="shared" si="6"/>
        <v>2.2200000000000002E-3</v>
      </c>
      <c r="AA19" s="56">
        <f t="shared" si="7"/>
        <v>1.583756388223245E-3</v>
      </c>
      <c r="AB19" s="7"/>
      <c r="AC19" s="16"/>
      <c r="AD19" s="7"/>
      <c r="AE19" s="7"/>
      <c r="AF19" s="7"/>
      <c r="AG19" s="7"/>
      <c r="AH19" s="24"/>
      <c r="AI19" s="24"/>
      <c r="AJ19" s="13"/>
      <c r="AK19" s="13"/>
      <c r="AL19" s="13"/>
      <c r="AM19" s="13"/>
      <c r="AN19" s="13"/>
      <c r="AO19" s="13"/>
      <c r="AP19" s="13"/>
      <c r="AQ19" s="13"/>
      <c r="AR19" s="14"/>
    </row>
    <row r="20" spans="1:44" ht="14.25" customHeight="1" x14ac:dyDescent="0.3">
      <c r="A20" s="353"/>
      <c r="B20" s="353"/>
      <c r="C20" s="14"/>
      <c r="D20" s="7"/>
      <c r="E20" s="16"/>
      <c r="F20" s="25"/>
      <c r="G20" s="16"/>
      <c r="H20" s="16"/>
      <c r="I20" s="7"/>
      <c r="J20" s="45"/>
      <c r="K20" s="25"/>
      <c r="L20" s="16"/>
      <c r="M20" s="16"/>
      <c r="N20" s="7"/>
      <c r="O20" s="7"/>
      <c r="P20" s="7"/>
      <c r="Q20" s="7"/>
      <c r="R20" s="7"/>
      <c r="S20" s="7"/>
      <c r="T20" s="7"/>
      <c r="U20" s="24"/>
      <c r="V20" s="24"/>
      <c r="W20" s="17" t="s">
        <v>31</v>
      </c>
      <c r="X20" s="44">
        <f>'Unit Fungsi'!P20</f>
        <v>27.882033368472637</v>
      </c>
      <c r="Y20" s="18" t="s">
        <v>207</v>
      </c>
      <c r="Z20" s="55">
        <f t="shared" si="6"/>
        <v>9.4300000000000004E-4</v>
      </c>
      <c r="AA20" s="56">
        <f t="shared" si="7"/>
        <v>2.62927574664697E-2</v>
      </c>
      <c r="AB20" s="7"/>
      <c r="AC20" s="16"/>
      <c r="AD20" s="7"/>
      <c r="AE20" s="7"/>
      <c r="AF20" s="7"/>
      <c r="AG20" s="7"/>
      <c r="AH20" s="24"/>
      <c r="AI20" s="24"/>
      <c r="AJ20" s="13"/>
      <c r="AK20" s="13"/>
      <c r="AL20" s="13"/>
      <c r="AM20" s="13"/>
      <c r="AN20" s="13"/>
      <c r="AO20" s="13"/>
      <c r="AP20" s="13"/>
      <c r="AQ20" s="13"/>
      <c r="AR20" s="14"/>
    </row>
    <row r="21" spans="1:44" ht="14.25" customHeight="1" x14ac:dyDescent="0.3">
      <c r="A21" s="354"/>
      <c r="B21" s="354"/>
      <c r="C21" s="14"/>
      <c r="D21" s="7"/>
      <c r="E21" s="16"/>
      <c r="F21" s="25"/>
      <c r="G21" s="16"/>
      <c r="H21" s="16"/>
      <c r="I21" s="7"/>
      <c r="J21" s="45"/>
      <c r="K21" s="25"/>
      <c r="L21" s="16"/>
      <c r="M21" s="16"/>
      <c r="N21" s="7"/>
      <c r="O21" s="7"/>
      <c r="P21" s="7"/>
      <c r="Q21" s="7"/>
      <c r="R21" s="7"/>
      <c r="S21" s="7"/>
      <c r="T21" s="7"/>
      <c r="U21" s="24"/>
      <c r="V21" s="24"/>
      <c r="W21" s="7"/>
      <c r="X21" s="46"/>
      <c r="Y21" s="25"/>
      <c r="Z21" s="16"/>
      <c r="AA21" s="16"/>
      <c r="AB21" s="7"/>
      <c r="AC21" s="16"/>
      <c r="AD21" s="7"/>
      <c r="AE21" s="7"/>
      <c r="AF21" s="7"/>
      <c r="AG21" s="7"/>
      <c r="AH21" s="24"/>
      <c r="AI21" s="24"/>
      <c r="AJ21" s="13"/>
      <c r="AK21" s="13"/>
      <c r="AL21" s="13"/>
      <c r="AM21" s="13"/>
      <c r="AN21" s="13"/>
      <c r="AO21" s="13"/>
      <c r="AP21" s="13"/>
      <c r="AQ21" s="13"/>
      <c r="AR21" s="14"/>
    </row>
    <row r="22" spans="1:44" ht="14.25" customHeight="1" x14ac:dyDescent="0.3">
      <c r="A22" s="356">
        <v>5</v>
      </c>
      <c r="B22" s="358" t="s">
        <v>52</v>
      </c>
      <c r="C22" s="28" t="s">
        <v>53</v>
      </c>
      <c r="D22" s="5" t="s">
        <v>54</v>
      </c>
      <c r="E22" s="6">
        <f>'Unit Fungsi'!E22</f>
        <v>1</v>
      </c>
      <c r="F22" s="18" t="s">
        <v>202</v>
      </c>
      <c r="G22" s="44">
        <f>CF!I6</f>
        <v>2.26E-5</v>
      </c>
      <c r="H22" s="60">
        <f>CF!G6</f>
        <v>3.6299999999999999E-2</v>
      </c>
      <c r="I22" s="3" t="s">
        <v>22</v>
      </c>
      <c r="J22" s="48">
        <f>'Unit Fungsi'!H22</f>
        <v>0.15524651167584114</v>
      </c>
      <c r="K22" s="18" t="s">
        <v>203</v>
      </c>
      <c r="L22" s="51">
        <f>L4</f>
        <v>6.3500000000000004E-4</v>
      </c>
      <c r="M22" s="52">
        <f>J22*L22</f>
        <v>9.8581534914159134E-5</v>
      </c>
      <c r="N22" s="7"/>
      <c r="O22" s="7"/>
      <c r="P22" s="7"/>
      <c r="Q22" s="7"/>
      <c r="R22" s="7"/>
      <c r="S22" s="7"/>
      <c r="T22" s="7"/>
      <c r="U22" s="24"/>
      <c r="V22" s="24"/>
      <c r="W22" s="8" t="s">
        <v>24</v>
      </c>
      <c r="X22" s="44">
        <f>'Unit Fungsi'!P22</f>
        <v>7.9184188946224924E-4</v>
      </c>
      <c r="Y22" s="20" t="s">
        <v>205</v>
      </c>
      <c r="Z22" s="53">
        <f t="shared" ref="Z22:Z24" si="8">Z4</f>
        <v>2.7099999999999997E-4</v>
      </c>
      <c r="AA22" s="54">
        <f t="shared" ref="AA22:AA24" si="9">X22*Z22</f>
        <v>2.1458915204426953E-7</v>
      </c>
      <c r="AB22" s="17" t="s">
        <v>54</v>
      </c>
      <c r="AC22" s="6">
        <f>'Unit Fungsi'!S22</f>
        <v>1</v>
      </c>
      <c r="AD22" s="6" t="s">
        <v>55</v>
      </c>
      <c r="AE22" s="7"/>
      <c r="AF22" s="7"/>
      <c r="AG22" s="7"/>
      <c r="AH22" s="24"/>
      <c r="AI22" s="24"/>
      <c r="AJ22" s="13"/>
      <c r="AK22" s="13"/>
      <c r="AL22" s="13"/>
      <c r="AM22" s="13"/>
      <c r="AN22" s="13"/>
      <c r="AO22" s="13"/>
      <c r="AP22" s="13"/>
      <c r="AQ22" s="13"/>
      <c r="AR22" s="14"/>
    </row>
    <row r="23" spans="1:44" ht="14.25" customHeight="1" x14ac:dyDescent="0.3">
      <c r="A23" s="353"/>
      <c r="B23" s="353"/>
      <c r="C23" s="28"/>
      <c r="D23" s="7"/>
      <c r="E23" s="16"/>
      <c r="F23" s="25"/>
      <c r="G23" s="16"/>
      <c r="H23" s="16"/>
      <c r="I23" s="7"/>
      <c r="J23" s="45"/>
      <c r="K23" s="25"/>
      <c r="L23" s="16"/>
      <c r="M23" s="16"/>
      <c r="N23" s="7"/>
      <c r="O23" s="7"/>
      <c r="P23" s="7"/>
      <c r="Q23" s="7"/>
      <c r="R23" s="7"/>
      <c r="S23" s="7"/>
      <c r="T23" s="7"/>
      <c r="U23" s="24"/>
      <c r="V23" s="24"/>
      <c r="W23" s="17" t="s">
        <v>29</v>
      </c>
      <c r="X23" s="44">
        <f>'Unit Fungsi'!P23</f>
        <v>1.2041229938601588E-2</v>
      </c>
      <c r="Y23" s="18" t="s">
        <v>206</v>
      </c>
      <c r="Z23" s="55">
        <f t="shared" si="8"/>
        <v>2.2200000000000002E-3</v>
      </c>
      <c r="AA23" s="56">
        <f t="shared" si="9"/>
        <v>2.6731530463695527E-5</v>
      </c>
      <c r="AB23" s="24"/>
      <c r="AC23" s="16"/>
      <c r="AD23" s="16"/>
      <c r="AE23" s="7"/>
      <c r="AF23" s="7"/>
      <c r="AG23" s="7"/>
      <c r="AH23" s="24"/>
      <c r="AI23" s="24"/>
      <c r="AJ23" s="13"/>
      <c r="AK23" s="13"/>
      <c r="AL23" s="13"/>
      <c r="AM23" s="13"/>
      <c r="AN23" s="13"/>
      <c r="AO23" s="13"/>
      <c r="AP23" s="13"/>
      <c r="AQ23" s="13"/>
      <c r="AR23" s="14"/>
    </row>
    <row r="24" spans="1:44" ht="14.25" customHeight="1" x14ac:dyDescent="0.3">
      <c r="A24" s="353"/>
      <c r="B24" s="353"/>
      <c r="C24" s="28"/>
      <c r="D24" s="7"/>
      <c r="E24" s="16"/>
      <c r="F24" s="25"/>
      <c r="G24" s="16"/>
      <c r="H24" s="16"/>
      <c r="I24" s="7"/>
      <c r="J24" s="45"/>
      <c r="K24" s="25"/>
      <c r="L24" s="16"/>
      <c r="M24" s="16"/>
      <c r="N24" s="7"/>
      <c r="O24" s="7"/>
      <c r="P24" s="7"/>
      <c r="Q24" s="7"/>
      <c r="R24" s="7"/>
      <c r="S24" s="7"/>
      <c r="T24" s="7"/>
      <c r="U24" s="24"/>
      <c r="V24" s="24"/>
      <c r="W24" s="17" t="s">
        <v>31</v>
      </c>
      <c r="X24" s="44">
        <f>'Unit Fungsi'!P24</f>
        <v>0.47060863016644744</v>
      </c>
      <c r="Y24" s="18" t="s">
        <v>207</v>
      </c>
      <c r="Z24" s="55">
        <f t="shared" si="8"/>
        <v>9.4300000000000004E-4</v>
      </c>
      <c r="AA24" s="56">
        <f t="shared" si="9"/>
        <v>4.4378393824695995E-4</v>
      </c>
      <c r="AB24" s="24"/>
      <c r="AC24" s="16"/>
      <c r="AD24" s="16"/>
      <c r="AE24" s="7"/>
      <c r="AF24" s="7"/>
      <c r="AG24" s="7"/>
      <c r="AH24" s="24"/>
      <c r="AI24" s="24"/>
      <c r="AJ24" s="13"/>
      <c r="AK24" s="13"/>
      <c r="AL24" s="13"/>
      <c r="AM24" s="13"/>
      <c r="AN24" s="13"/>
      <c r="AO24" s="13"/>
      <c r="AP24" s="13"/>
      <c r="AQ24" s="13"/>
      <c r="AR24" s="14"/>
    </row>
    <row r="25" spans="1:44" ht="14.25" customHeight="1" x14ac:dyDescent="0.3">
      <c r="A25" s="354"/>
      <c r="B25" s="354"/>
      <c r="C25" s="28"/>
      <c r="D25" s="7"/>
      <c r="E25" s="16"/>
      <c r="F25" s="25"/>
      <c r="G25" s="16"/>
      <c r="H25" s="16"/>
      <c r="I25" s="7"/>
      <c r="J25" s="45"/>
      <c r="K25" s="25"/>
      <c r="L25" s="16"/>
      <c r="M25" s="16"/>
      <c r="N25" s="7"/>
      <c r="O25" s="7"/>
      <c r="P25" s="7"/>
      <c r="Q25" s="7"/>
      <c r="R25" s="7"/>
      <c r="S25" s="7"/>
      <c r="T25" s="7"/>
      <c r="U25" s="24"/>
      <c r="V25" s="24"/>
      <c r="W25" s="7"/>
      <c r="X25" s="46"/>
      <c r="Y25" s="25"/>
      <c r="Z25" s="16"/>
      <c r="AA25" s="16"/>
      <c r="AB25" s="24"/>
      <c r="AC25" s="16"/>
      <c r="AD25" s="16"/>
      <c r="AE25" s="7"/>
      <c r="AF25" s="7"/>
      <c r="AG25" s="7"/>
      <c r="AH25" s="24"/>
      <c r="AI25" s="24"/>
      <c r="AJ25" s="13"/>
      <c r="AK25" s="13"/>
      <c r="AL25" s="13"/>
      <c r="AM25" s="13"/>
      <c r="AN25" s="13"/>
      <c r="AO25" s="13"/>
      <c r="AP25" s="13"/>
      <c r="AQ25" s="13"/>
      <c r="AR25" s="14"/>
    </row>
    <row r="26" spans="1:44" ht="14.25" customHeight="1" x14ac:dyDescent="0.3">
      <c r="A26" s="378">
        <v>6</v>
      </c>
      <c r="B26" s="358" t="s">
        <v>56</v>
      </c>
      <c r="C26" s="28" t="s">
        <v>57</v>
      </c>
      <c r="D26" s="5" t="s">
        <v>54</v>
      </c>
      <c r="E26" s="6">
        <f>'Unit Fungsi'!E26</f>
        <v>1</v>
      </c>
      <c r="F26" s="18" t="s">
        <v>202</v>
      </c>
      <c r="G26" s="44">
        <f>G22</f>
        <v>2.26E-5</v>
      </c>
      <c r="H26" s="52">
        <f>E26*G26</f>
        <v>2.26E-5</v>
      </c>
      <c r="I26" s="3" t="s">
        <v>22</v>
      </c>
      <c r="J26" s="48">
        <f>'Unit Fungsi'!H26</f>
        <v>0.3662570239060281</v>
      </c>
      <c r="K26" s="18" t="s">
        <v>203</v>
      </c>
      <c r="L26" s="51">
        <f>L4</f>
        <v>6.3500000000000004E-4</v>
      </c>
      <c r="M26" s="52">
        <f>J26*L26</f>
        <v>2.3257321018032786E-4</v>
      </c>
      <c r="N26" s="7"/>
      <c r="O26" s="7"/>
      <c r="P26" s="7"/>
      <c r="Q26" s="7"/>
      <c r="R26" s="7"/>
      <c r="S26" s="7"/>
      <c r="T26" s="7"/>
      <c r="U26" s="24"/>
      <c r="V26" s="24"/>
      <c r="W26" s="8" t="s">
        <v>24</v>
      </c>
      <c r="X26" s="44">
        <f>'Unit Fungsi'!P26</f>
        <v>1.8681105984792374E-3</v>
      </c>
      <c r="Y26" s="20" t="s">
        <v>205</v>
      </c>
      <c r="Z26" s="53">
        <f t="shared" ref="Z26:Z28" si="10">Z4</f>
        <v>2.7099999999999997E-4</v>
      </c>
      <c r="AA26" s="54">
        <f t="shared" ref="AA26:AA28" si="11">X26*Z26</f>
        <v>5.0625797218787332E-7</v>
      </c>
      <c r="AB26" s="17" t="s">
        <v>54</v>
      </c>
      <c r="AC26" s="6">
        <f>'Unit Fungsi'!S26</f>
        <v>1</v>
      </c>
      <c r="AD26" s="6" t="s">
        <v>55</v>
      </c>
      <c r="AE26" s="7"/>
      <c r="AF26" s="7"/>
      <c r="AG26" s="7"/>
      <c r="AH26" s="24"/>
      <c r="AI26" s="24"/>
      <c r="AJ26" s="13"/>
      <c r="AK26" s="13"/>
      <c r="AL26" s="13"/>
      <c r="AM26" s="13"/>
      <c r="AN26" s="13"/>
      <c r="AO26" s="13"/>
      <c r="AP26" s="13"/>
      <c r="AQ26" s="13"/>
      <c r="AR26" s="14"/>
    </row>
    <row r="27" spans="1:44" ht="14.25" customHeight="1" x14ac:dyDescent="0.3">
      <c r="A27" s="353"/>
      <c r="B27" s="353"/>
      <c r="C27" s="28"/>
      <c r="D27" s="7"/>
      <c r="E27" s="16"/>
      <c r="F27" s="25"/>
      <c r="G27" s="16"/>
      <c r="H27" s="16"/>
      <c r="I27" s="7"/>
      <c r="J27" s="45"/>
      <c r="K27" s="25"/>
      <c r="L27" s="16"/>
      <c r="M27" s="16"/>
      <c r="N27" s="7"/>
      <c r="O27" s="7"/>
      <c r="P27" s="7"/>
      <c r="Q27" s="7"/>
      <c r="R27" s="7"/>
      <c r="S27" s="7"/>
      <c r="T27" s="7"/>
      <c r="U27" s="24"/>
      <c r="V27" s="24"/>
      <c r="W27" s="17" t="s">
        <v>29</v>
      </c>
      <c r="X27" s="44">
        <f>'Unit Fungsi'!P27</f>
        <v>2.8407627288199351E-2</v>
      </c>
      <c r="Y27" s="18" t="s">
        <v>206</v>
      </c>
      <c r="Z27" s="55">
        <f t="shared" si="10"/>
        <v>2.2200000000000002E-3</v>
      </c>
      <c r="AA27" s="56">
        <f t="shared" si="11"/>
        <v>6.3064932579802571E-5</v>
      </c>
      <c r="AB27" s="24"/>
      <c r="AC27" s="16"/>
      <c r="AD27" s="16"/>
      <c r="AE27" s="7"/>
      <c r="AF27" s="7"/>
      <c r="AG27" s="7"/>
      <c r="AH27" s="24"/>
      <c r="AI27" s="24"/>
      <c r="AJ27" s="13"/>
      <c r="AK27" s="13"/>
      <c r="AL27" s="13"/>
      <c r="AM27" s="13"/>
      <c r="AN27" s="13"/>
      <c r="AO27" s="13"/>
      <c r="AP27" s="13"/>
      <c r="AQ27" s="13"/>
      <c r="AR27" s="14"/>
    </row>
    <row r="28" spans="1:44" ht="14.25" customHeight="1" x14ac:dyDescent="0.3">
      <c r="A28" s="353"/>
      <c r="B28" s="353"/>
      <c r="C28" s="28"/>
      <c r="D28" s="7"/>
      <c r="E28" s="16"/>
      <c r="F28" s="25"/>
      <c r="G28" s="16"/>
      <c r="H28" s="16"/>
      <c r="I28" s="7"/>
      <c r="J28" s="45"/>
      <c r="K28" s="25"/>
      <c r="L28" s="16"/>
      <c r="M28" s="16"/>
      <c r="N28" s="7"/>
      <c r="O28" s="7"/>
      <c r="P28" s="7"/>
      <c r="Q28" s="7"/>
      <c r="R28" s="7"/>
      <c r="S28" s="7"/>
      <c r="T28" s="7"/>
      <c r="U28" s="24"/>
      <c r="V28" s="24"/>
      <c r="W28" s="17" t="s">
        <v>31</v>
      </c>
      <c r="X28" s="44">
        <f>'Unit Fungsi'!P28</f>
        <v>1.1102582238315004</v>
      </c>
      <c r="Y28" s="18" t="s">
        <v>207</v>
      </c>
      <c r="Z28" s="55">
        <f t="shared" si="10"/>
        <v>9.4300000000000004E-4</v>
      </c>
      <c r="AA28" s="56">
        <f t="shared" si="11"/>
        <v>1.046973505073105E-3</v>
      </c>
      <c r="AB28" s="24"/>
      <c r="AC28" s="16"/>
      <c r="AD28" s="16"/>
      <c r="AE28" s="7"/>
      <c r="AF28" s="7"/>
      <c r="AG28" s="7"/>
      <c r="AH28" s="24"/>
      <c r="AI28" s="24"/>
      <c r="AJ28" s="13"/>
      <c r="AK28" s="13"/>
      <c r="AL28" s="13"/>
      <c r="AM28" s="13"/>
      <c r="AN28" s="13"/>
      <c r="AO28" s="13"/>
      <c r="AP28" s="13"/>
      <c r="AQ28" s="13"/>
      <c r="AR28" s="14"/>
    </row>
    <row r="29" spans="1:44" ht="14.25" customHeight="1" x14ac:dyDescent="0.3">
      <c r="A29" s="354"/>
      <c r="B29" s="354"/>
      <c r="C29" s="28"/>
      <c r="D29" s="7"/>
      <c r="E29" s="16"/>
      <c r="F29" s="25"/>
      <c r="G29" s="16"/>
      <c r="H29" s="16"/>
      <c r="I29" s="7"/>
      <c r="J29" s="45"/>
      <c r="K29" s="25"/>
      <c r="L29" s="16"/>
      <c r="M29" s="16"/>
      <c r="N29" s="7"/>
      <c r="O29" s="7"/>
      <c r="P29" s="7"/>
      <c r="Q29" s="7"/>
      <c r="R29" s="7"/>
      <c r="S29" s="7"/>
      <c r="T29" s="7"/>
      <c r="U29" s="24"/>
      <c r="V29" s="24"/>
      <c r="W29" s="7"/>
      <c r="X29" s="46"/>
      <c r="Y29" s="25"/>
      <c r="Z29" s="16"/>
      <c r="AA29" s="16"/>
      <c r="AB29" s="24"/>
      <c r="AC29" s="16"/>
      <c r="AD29" s="16"/>
      <c r="AE29" s="7"/>
      <c r="AF29" s="7"/>
      <c r="AG29" s="7"/>
      <c r="AH29" s="24"/>
      <c r="AI29" s="24"/>
      <c r="AJ29" s="13"/>
      <c r="AK29" s="13"/>
      <c r="AL29" s="13"/>
      <c r="AM29" s="13"/>
      <c r="AN29" s="13"/>
      <c r="AO29" s="13"/>
      <c r="AP29" s="13"/>
      <c r="AQ29" s="13"/>
      <c r="AR29" s="14"/>
    </row>
    <row r="30" spans="1:44" ht="14.25" customHeight="1" x14ac:dyDescent="0.3">
      <c r="A30" s="356">
        <v>7</v>
      </c>
      <c r="B30" s="358" t="s">
        <v>58</v>
      </c>
      <c r="C30" s="28" t="s">
        <v>28</v>
      </c>
      <c r="D30" s="5" t="s">
        <v>54</v>
      </c>
      <c r="E30" s="6">
        <f>'Unit Fungsi'!E30</f>
        <v>1</v>
      </c>
      <c r="F30" s="18" t="s">
        <v>202</v>
      </c>
      <c r="G30" s="44">
        <f>G22</f>
        <v>2.26E-5</v>
      </c>
      <c r="H30" s="52">
        <f>E30*G30</f>
        <v>2.26E-5</v>
      </c>
      <c r="I30" s="5" t="s">
        <v>22</v>
      </c>
      <c r="J30" s="43">
        <f>'Unit Fungsi'!H30</f>
        <v>0.94669558955441135</v>
      </c>
      <c r="K30" s="18" t="s">
        <v>203</v>
      </c>
      <c r="L30" s="44">
        <f>L4</f>
        <v>6.3500000000000004E-4</v>
      </c>
      <c r="M30" s="52">
        <f>J30*L30</f>
        <v>6.0115169936705121E-4</v>
      </c>
      <c r="N30" s="7"/>
      <c r="O30" s="7"/>
      <c r="P30" s="7"/>
      <c r="Q30" s="7"/>
      <c r="R30" s="7"/>
      <c r="S30" s="7"/>
      <c r="T30" s="7"/>
      <c r="U30" s="24"/>
      <c r="V30" s="24"/>
      <c r="W30" s="8" t="s">
        <v>24</v>
      </c>
      <c r="X30" s="44">
        <f>'Unit Fungsi'!P30</f>
        <v>4.828663886139983E-3</v>
      </c>
      <c r="Y30" s="20" t="s">
        <v>205</v>
      </c>
      <c r="Z30" s="53">
        <f t="shared" ref="Z30:Z32" si="12">Z4</f>
        <v>2.7099999999999997E-4</v>
      </c>
      <c r="AA30" s="54">
        <f t="shared" ref="AA30:AA32" si="13">X30*Z30</f>
        <v>1.3085679131439353E-6</v>
      </c>
      <c r="AB30" s="17" t="s">
        <v>54</v>
      </c>
      <c r="AC30" s="6">
        <f>'Unit Fungsi'!S30</f>
        <v>1</v>
      </c>
      <c r="AD30" s="6" t="s">
        <v>55</v>
      </c>
      <c r="AE30" s="7"/>
      <c r="AF30" s="7"/>
      <c r="AG30" s="7"/>
      <c r="AH30" s="24"/>
      <c r="AI30" s="24"/>
      <c r="AJ30" s="13"/>
      <c r="AK30" s="13"/>
      <c r="AL30" s="13"/>
      <c r="AM30" s="13"/>
      <c r="AN30" s="13"/>
      <c r="AO30" s="13"/>
      <c r="AP30" s="13"/>
      <c r="AQ30" s="13"/>
      <c r="AR30" s="14"/>
    </row>
    <row r="31" spans="1:44" ht="14.25" customHeight="1" x14ac:dyDescent="0.3">
      <c r="A31" s="353"/>
      <c r="B31" s="353"/>
      <c r="C31" s="29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7" t="s">
        <v>29</v>
      </c>
      <c r="X31" s="44">
        <f>'Unit Fungsi'!P31</f>
        <v>7.3427603317019252E-2</v>
      </c>
      <c r="Y31" s="18" t="s">
        <v>206</v>
      </c>
      <c r="Z31" s="55">
        <f t="shared" si="12"/>
        <v>2.2200000000000002E-3</v>
      </c>
      <c r="AA31" s="56">
        <f t="shared" si="13"/>
        <v>1.6300927936378274E-4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4"/>
    </row>
    <row r="32" spans="1:44" ht="14.25" customHeight="1" x14ac:dyDescent="0.3">
      <c r="A32" s="353"/>
      <c r="B32" s="353"/>
      <c r="C32" s="28" t="s">
        <v>57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7" t="s">
        <v>31</v>
      </c>
      <c r="X32" s="44">
        <f>'Unit Fungsi'!P32</f>
        <v>2.8697785848810766</v>
      </c>
      <c r="Y32" s="18" t="s">
        <v>207</v>
      </c>
      <c r="Z32" s="55">
        <f t="shared" si="12"/>
        <v>9.4300000000000004E-4</v>
      </c>
      <c r="AA32" s="56">
        <f t="shared" si="13"/>
        <v>2.7062012055428554E-3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</row>
    <row r="33" spans="1:50" ht="14.25" customHeight="1" x14ac:dyDescent="0.3">
      <c r="A33" s="353"/>
      <c r="B33" s="353"/>
      <c r="C33" s="28" t="s">
        <v>19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4"/>
    </row>
    <row r="34" spans="1:50" ht="14.25" customHeight="1" x14ac:dyDescent="0.3">
      <c r="A34" s="353"/>
      <c r="B34" s="353"/>
      <c r="C34" s="29" t="s">
        <v>60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4"/>
    </row>
    <row r="35" spans="1:50" ht="14.25" customHeight="1" x14ac:dyDescent="0.3">
      <c r="A35" s="353"/>
      <c r="B35" s="353"/>
      <c r="C35" s="29" t="s">
        <v>61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4"/>
    </row>
    <row r="36" spans="1:50" ht="14.25" customHeight="1" x14ac:dyDescent="0.3">
      <c r="A36" s="353"/>
      <c r="B36" s="353"/>
      <c r="C36" s="28" t="s">
        <v>62</v>
      </c>
      <c r="D36" s="13"/>
      <c r="E36" s="30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4"/>
    </row>
    <row r="37" spans="1:50" ht="14.25" customHeight="1" x14ac:dyDescent="0.3">
      <c r="A37" s="353"/>
      <c r="B37" s="353"/>
      <c r="C37" s="29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4"/>
    </row>
    <row r="38" spans="1:50" ht="14.25" customHeight="1" x14ac:dyDescent="0.3">
      <c r="A38" s="354"/>
      <c r="B38" s="354"/>
      <c r="C38" s="29" t="s">
        <v>64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4"/>
    </row>
    <row r="39" spans="1:50" s="264" customFormat="1" ht="14.25" customHeight="1" x14ac:dyDescent="0.3">
      <c r="A39" s="346">
        <v>8</v>
      </c>
      <c r="B39" s="349" t="s">
        <v>272</v>
      </c>
      <c r="C39" s="268" t="s">
        <v>283</v>
      </c>
      <c r="D39" s="283" t="s">
        <v>54</v>
      </c>
      <c r="E39" s="289">
        <f>'Unit Fungsi'!E39</f>
        <v>1</v>
      </c>
      <c r="F39" s="18" t="s">
        <v>202</v>
      </c>
      <c r="G39" s="18">
        <f>G30</f>
        <v>2.26E-5</v>
      </c>
      <c r="H39" s="60">
        <f>E39*G39</f>
        <v>2.26E-5</v>
      </c>
      <c r="I39" s="284" t="s">
        <v>22</v>
      </c>
      <c r="J39" s="291">
        <f>'Unit Fungsi'!H39</f>
        <v>0.45896578825032147</v>
      </c>
      <c r="K39" s="18" t="s">
        <v>203</v>
      </c>
      <c r="L39" s="55">
        <f>L12</f>
        <v>6.3500000000000004E-4</v>
      </c>
      <c r="M39" s="57">
        <f>J39*L39</f>
        <v>2.9144327553895413E-4</v>
      </c>
      <c r="N39" s="269"/>
      <c r="O39" s="269"/>
      <c r="P39" s="269"/>
      <c r="Q39" s="269"/>
      <c r="R39" s="269"/>
      <c r="S39" s="291">
        <f>'Unit Fungsi'!M39</f>
        <v>21.936256196726596</v>
      </c>
      <c r="T39" s="18" t="s">
        <v>203</v>
      </c>
      <c r="U39" s="293"/>
      <c r="V39" s="293"/>
      <c r="W39" s="277" t="s">
        <v>29</v>
      </c>
      <c r="X39" s="291">
        <f>'Unit Fungsi'!P39</f>
        <v>0.40990362334425118</v>
      </c>
      <c r="Y39" s="18" t="s">
        <v>206</v>
      </c>
      <c r="Z39" s="55">
        <f t="shared" ref="Z39:Z40" si="14">Z13</f>
        <v>2.2200000000000002E-3</v>
      </c>
      <c r="AA39" s="56">
        <f>X39*Z39</f>
        <v>9.0998604382423764E-4</v>
      </c>
      <c r="AB39" s="17" t="s">
        <v>54</v>
      </c>
      <c r="AC39" s="264">
        <f>'Unit Fungsi'!S39</f>
        <v>1</v>
      </c>
      <c r="AD39" s="18" t="s">
        <v>55</v>
      </c>
      <c r="AE39" s="269"/>
      <c r="AF39" s="269"/>
      <c r="AG39" s="269"/>
      <c r="AH39" s="269"/>
      <c r="AI39" s="269"/>
      <c r="AJ39" s="291" t="str">
        <f>'Unit Fungsi'!X39</f>
        <v>Air Limbah</v>
      </c>
      <c r="AK39" s="292">
        <f>'Unit Fungsi'!Y39</f>
        <v>21.936256196726596</v>
      </c>
      <c r="AL39" s="277" t="s">
        <v>200</v>
      </c>
      <c r="AM39" s="292">
        <v>1.35E-2</v>
      </c>
      <c r="AN39" s="300">
        <f>AM39*AK39</f>
        <v>0.29613945865580904</v>
      </c>
      <c r="AO39" s="269"/>
      <c r="AP39" s="269"/>
      <c r="AQ39" s="269"/>
      <c r="AR39" s="277"/>
      <c r="AS39" s="292"/>
      <c r="AT39" s="292"/>
      <c r="AU39" s="288"/>
      <c r="AV39" s="288"/>
      <c r="AW39" s="288"/>
      <c r="AX39" s="287"/>
    </row>
    <row r="40" spans="1:50" s="264" customFormat="1" ht="14.25" customHeight="1" x14ac:dyDescent="0.3">
      <c r="A40" s="347"/>
      <c r="B40" s="350"/>
      <c r="C40" s="268"/>
      <c r="D40" s="284" t="s">
        <v>156</v>
      </c>
      <c r="E40" s="290">
        <f>'Unit Fungsi'!E40</f>
        <v>2.2355685488644349E-6</v>
      </c>
      <c r="F40" s="18" t="s">
        <v>202</v>
      </c>
      <c r="G40" s="293"/>
      <c r="H40" s="293"/>
      <c r="I40" s="284" t="s">
        <v>273</v>
      </c>
      <c r="J40" s="291">
        <f>'Unit Fungsi'!H40</f>
        <v>5.7370723531290184E-2</v>
      </c>
      <c r="K40" s="18" t="s">
        <v>203</v>
      </c>
      <c r="L40" s="55">
        <v>2.2215000000000004E-3</v>
      </c>
      <c r="M40" s="57">
        <f>J40*L40</f>
        <v>1.2744906232476118E-4</v>
      </c>
      <c r="N40" s="269"/>
      <c r="O40" s="269"/>
      <c r="P40" s="269"/>
      <c r="Q40" s="269"/>
      <c r="R40" s="269"/>
      <c r="S40" s="269"/>
      <c r="T40" s="269"/>
      <c r="U40" s="269"/>
      <c r="V40" s="269"/>
      <c r="W40" s="277" t="s">
        <v>31</v>
      </c>
      <c r="X40" s="291">
        <f>'Unit Fungsi'!P40</f>
        <v>0.2834240641956331</v>
      </c>
      <c r="Y40" s="18" t="s">
        <v>207</v>
      </c>
      <c r="Z40" s="55">
        <f t="shared" si="14"/>
        <v>9.4300000000000004E-4</v>
      </c>
      <c r="AA40" s="56">
        <f>X40*Z40</f>
        <v>2.6726889253648204E-4</v>
      </c>
      <c r="AB40" s="269"/>
      <c r="AC40" s="269"/>
      <c r="AD40" s="269"/>
      <c r="AE40" s="282" t="s">
        <v>195</v>
      </c>
      <c r="AF40" s="291">
        <f>'Unit Fungsi'!V40</f>
        <v>2.5277799059977782E-6</v>
      </c>
      <c r="AG40" s="279" t="s">
        <v>202</v>
      </c>
      <c r="AH40" s="298">
        <v>8.7600000000000004E-4</v>
      </c>
      <c r="AI40" s="299">
        <f>AF40*AH40</f>
        <v>2.2143351976540539E-9</v>
      </c>
      <c r="AJ40" s="269"/>
      <c r="AK40" s="269"/>
      <c r="AL40" s="269"/>
      <c r="AM40" s="269"/>
      <c r="AN40" s="269"/>
      <c r="AO40" s="269"/>
      <c r="AP40" s="269"/>
      <c r="AQ40" s="269"/>
      <c r="AR40" s="288"/>
      <c r="AS40" s="288"/>
      <c r="AT40" s="288"/>
      <c r="AU40" s="288"/>
      <c r="AV40" s="288"/>
      <c r="AW40" s="288"/>
      <c r="AX40" s="287"/>
    </row>
    <row r="41" spans="1:50" s="264" customFormat="1" ht="14.25" customHeight="1" x14ac:dyDescent="0.3">
      <c r="A41" s="347"/>
      <c r="B41" s="350"/>
      <c r="C41" s="268"/>
      <c r="D41" s="284" t="s">
        <v>274</v>
      </c>
      <c r="E41" s="290">
        <f>'Unit Fungsi'!E41</f>
        <v>5.6919884053949107E-5</v>
      </c>
      <c r="F41" s="18" t="s">
        <v>202</v>
      </c>
      <c r="G41" s="293"/>
      <c r="H41" s="293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82" t="s">
        <v>275</v>
      </c>
      <c r="AF41" s="291">
        <f>'Unit Fungsi'!V41</f>
        <v>7.9553869134066085E-8</v>
      </c>
      <c r="AG41" s="279" t="s">
        <v>202</v>
      </c>
      <c r="AH41" s="298">
        <v>9.1299999999999997E-4</v>
      </c>
      <c r="AI41" s="299">
        <f t="shared" ref="AI41:AI48" si="15">AF41*AH41</f>
        <v>7.2632682519402329E-11</v>
      </c>
      <c r="AJ41" s="269"/>
      <c r="AK41" s="269"/>
      <c r="AL41" s="269"/>
      <c r="AM41" s="269"/>
      <c r="AN41" s="269"/>
      <c r="AO41" s="269"/>
      <c r="AP41" s="269"/>
      <c r="AQ41" s="269"/>
      <c r="AR41" s="288"/>
      <c r="AS41" s="288"/>
      <c r="AT41" s="288"/>
      <c r="AU41" s="288"/>
      <c r="AV41" s="288"/>
      <c r="AW41" s="288"/>
      <c r="AX41" s="287"/>
    </row>
    <row r="42" spans="1:50" s="264" customFormat="1" ht="14.25" customHeight="1" x14ac:dyDescent="0.3">
      <c r="A42" s="347"/>
      <c r="B42" s="350"/>
      <c r="C42" s="268"/>
      <c r="D42" s="284" t="s">
        <v>126</v>
      </c>
      <c r="E42" s="290">
        <f>'Unit Fungsi'!E42</f>
        <v>6.033037297453697E-5</v>
      </c>
      <c r="F42" s="18" t="s">
        <v>202</v>
      </c>
      <c r="G42" s="293"/>
      <c r="H42" s="293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82" t="s">
        <v>276</v>
      </c>
      <c r="AF42" s="291">
        <f>'Unit Fungsi'!V42</f>
        <v>1.4464339842557471E-6</v>
      </c>
      <c r="AG42" s="279" t="s">
        <v>202</v>
      </c>
      <c r="AH42" s="298">
        <v>1.35E-2</v>
      </c>
      <c r="AI42" s="299">
        <f t="shared" si="15"/>
        <v>1.9526858787452585E-8</v>
      </c>
      <c r="AJ42" s="269"/>
      <c r="AK42" s="269"/>
      <c r="AL42" s="269"/>
      <c r="AM42" s="269"/>
      <c r="AN42" s="269"/>
      <c r="AO42" s="269"/>
      <c r="AP42" s="269"/>
      <c r="AQ42" s="269"/>
      <c r="AR42" s="288"/>
      <c r="AS42" s="288"/>
      <c r="AT42" s="288"/>
      <c r="AU42" s="288"/>
      <c r="AV42" s="288"/>
      <c r="AW42" s="288"/>
      <c r="AX42" s="287"/>
    </row>
    <row r="43" spans="1:50" s="264" customFormat="1" ht="14.25" customHeight="1" x14ac:dyDescent="0.3">
      <c r="A43" s="347"/>
      <c r="B43" s="350"/>
      <c r="C43" s="268"/>
      <c r="D43" s="284" t="s">
        <v>127</v>
      </c>
      <c r="E43" s="290">
        <f>'Unit Fungsi'!E43</f>
        <v>1.9306503372293342E-5</v>
      </c>
      <c r="F43" s="18" t="s">
        <v>202</v>
      </c>
      <c r="G43" s="293"/>
      <c r="H43" s="293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82" t="s">
        <v>277</v>
      </c>
      <c r="AF43" s="291">
        <f>'Unit Fungsi'!V43</f>
        <v>5.6919884053949109E-8</v>
      </c>
      <c r="AG43" s="279" t="s">
        <v>202</v>
      </c>
      <c r="AH43" s="298">
        <v>0</v>
      </c>
      <c r="AI43" s="299">
        <f t="shared" si="15"/>
        <v>0</v>
      </c>
      <c r="AJ43" s="269"/>
      <c r="AK43" s="269"/>
      <c r="AL43" s="269"/>
      <c r="AM43" s="269"/>
      <c r="AN43" s="269"/>
      <c r="AO43" s="269"/>
      <c r="AP43" s="269"/>
      <c r="AQ43" s="269"/>
      <c r="AR43" s="288"/>
      <c r="AS43" s="288"/>
      <c r="AT43" s="288"/>
      <c r="AU43" s="288"/>
      <c r="AV43" s="288"/>
      <c r="AW43" s="288"/>
      <c r="AX43" s="287"/>
    </row>
    <row r="44" spans="1:50" s="264" customFormat="1" ht="14.25" customHeight="1" x14ac:dyDescent="0.3">
      <c r="A44" s="347"/>
      <c r="B44" s="350"/>
      <c r="C44" s="268"/>
      <c r="D44" s="284" t="s">
        <v>128</v>
      </c>
      <c r="E44" s="290">
        <f>'Unit Fungsi'!E44</f>
        <v>3.6902147023324741E-3</v>
      </c>
      <c r="F44" s="18" t="s">
        <v>202</v>
      </c>
      <c r="G44" s="293"/>
      <c r="H44" s="293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82" t="s">
        <v>278</v>
      </c>
      <c r="AF44" s="291">
        <f>'Unit Fungsi'!V44</f>
        <v>6.0330372974536973E-8</v>
      </c>
      <c r="AG44" s="279" t="s">
        <v>202</v>
      </c>
      <c r="AH44" s="298">
        <v>3.19E-6</v>
      </c>
      <c r="AI44" s="299">
        <f t="shared" si="15"/>
        <v>1.9245388978877293E-13</v>
      </c>
      <c r="AJ44" s="269"/>
      <c r="AK44" s="269"/>
      <c r="AL44" s="269"/>
      <c r="AM44" s="269"/>
      <c r="AN44" s="269"/>
      <c r="AO44" s="269"/>
      <c r="AP44" s="269"/>
      <c r="AQ44" s="269"/>
      <c r="AR44" s="288"/>
      <c r="AS44" s="288"/>
      <c r="AT44" s="288"/>
      <c r="AU44" s="288"/>
      <c r="AV44" s="288"/>
      <c r="AW44" s="288"/>
      <c r="AX44" s="287"/>
    </row>
    <row r="45" spans="1:50" s="264" customFormat="1" ht="14.25" customHeight="1" x14ac:dyDescent="0.3">
      <c r="A45" s="347"/>
      <c r="B45" s="350"/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82" t="s">
        <v>279</v>
      </c>
      <c r="AF45" s="291">
        <f>'Unit Fungsi'!V45</f>
        <v>1.9306503372293343E-8</v>
      </c>
      <c r="AG45" s="279" t="s">
        <v>202</v>
      </c>
      <c r="AH45" s="298">
        <v>1.8800000000000001E-2</v>
      </c>
      <c r="AI45" s="299">
        <f t="shared" si="15"/>
        <v>3.6296226339911488E-10</v>
      </c>
      <c r="AJ45" s="269"/>
      <c r="AK45" s="269"/>
      <c r="AL45" s="269"/>
      <c r="AM45" s="269"/>
      <c r="AN45" s="269"/>
      <c r="AO45" s="269"/>
      <c r="AP45" s="269"/>
      <c r="AQ45" s="269"/>
      <c r="AR45" s="288"/>
      <c r="AS45" s="288"/>
      <c r="AT45" s="288"/>
      <c r="AU45" s="288"/>
      <c r="AV45" s="288"/>
      <c r="AW45" s="288"/>
      <c r="AX45" s="287"/>
    </row>
    <row r="46" spans="1:50" s="264" customFormat="1" ht="14.25" customHeight="1" x14ac:dyDescent="0.3">
      <c r="A46" s="347"/>
      <c r="B46" s="350"/>
      <c r="C46" s="268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82" t="s">
        <v>280</v>
      </c>
      <c r="AF46" s="291">
        <f>'Unit Fungsi'!V46</f>
        <v>3.690214702332474E-6</v>
      </c>
      <c r="AG46" s="279" t="s">
        <v>202</v>
      </c>
      <c r="AH46" s="298">
        <v>0.114</v>
      </c>
      <c r="AI46" s="299">
        <f t="shared" si="15"/>
        <v>4.2068447606590204E-7</v>
      </c>
      <c r="AJ46" s="269"/>
      <c r="AK46" s="269"/>
      <c r="AL46" s="269"/>
      <c r="AM46" s="269"/>
      <c r="AN46" s="269"/>
      <c r="AO46" s="269"/>
      <c r="AP46" s="269"/>
      <c r="AQ46" s="269"/>
      <c r="AR46" s="288"/>
      <c r="AS46" s="288"/>
      <c r="AT46" s="288"/>
      <c r="AU46" s="288"/>
      <c r="AV46" s="288"/>
      <c r="AW46" s="288"/>
      <c r="AX46" s="287"/>
    </row>
    <row r="47" spans="1:50" s="264" customFormat="1" ht="14.25" customHeight="1" x14ac:dyDescent="0.3">
      <c r="A47" s="347"/>
      <c r="B47" s="350"/>
      <c r="C47" s="268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82" t="s">
        <v>281</v>
      </c>
      <c r="AF47" s="291">
        <f>'Unit Fungsi'!V47</f>
        <v>3.1188732785514542E-7</v>
      </c>
      <c r="AG47" s="279" t="s">
        <v>202</v>
      </c>
      <c r="AH47" s="298">
        <v>4.5000000000000003E-5</v>
      </c>
      <c r="AI47" s="299">
        <f t="shared" si="15"/>
        <v>1.4034929753481545E-11</v>
      </c>
      <c r="AJ47" s="269"/>
      <c r="AK47" s="269"/>
      <c r="AL47" s="269"/>
      <c r="AM47" s="269"/>
      <c r="AN47" s="269"/>
      <c r="AO47" s="269"/>
      <c r="AP47" s="269"/>
      <c r="AQ47" s="269"/>
      <c r="AR47" s="288"/>
      <c r="AS47" s="288"/>
      <c r="AT47" s="288"/>
      <c r="AU47" s="288"/>
      <c r="AV47" s="288"/>
      <c r="AW47" s="288"/>
      <c r="AX47" s="287"/>
    </row>
    <row r="48" spans="1:50" s="264" customFormat="1" ht="14.25" customHeight="1" x14ac:dyDescent="0.3">
      <c r="A48" s="347"/>
      <c r="B48" s="350"/>
      <c r="C48" s="268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82" t="s">
        <v>282</v>
      </c>
      <c r="AF48" s="291">
        <f>'Unit Fungsi'!V48</f>
        <v>9.2318406988326563E-9</v>
      </c>
      <c r="AG48" s="279" t="s">
        <v>202</v>
      </c>
      <c r="AH48" s="298">
        <v>8.7600000000000004E-4</v>
      </c>
      <c r="AI48" s="299">
        <f t="shared" si="15"/>
        <v>8.0870924521774074E-12</v>
      </c>
      <c r="AJ48" s="269"/>
      <c r="AK48" s="269"/>
      <c r="AL48" s="269"/>
      <c r="AM48" s="269"/>
      <c r="AN48" s="269"/>
      <c r="AO48" s="269"/>
      <c r="AP48" s="269"/>
      <c r="AQ48" s="269"/>
      <c r="AR48" s="288"/>
      <c r="AS48" s="288"/>
      <c r="AT48" s="288"/>
      <c r="AU48" s="288"/>
      <c r="AV48" s="288"/>
      <c r="AW48" s="288"/>
      <c r="AX48" s="287"/>
    </row>
    <row r="49" spans="1:50" s="264" customFormat="1" ht="14.25" customHeight="1" x14ac:dyDescent="0.3">
      <c r="A49" s="348"/>
      <c r="B49" s="351"/>
      <c r="C49" s="268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88"/>
      <c r="AS49" s="288"/>
      <c r="AT49" s="288"/>
      <c r="AU49" s="288"/>
      <c r="AV49" s="288"/>
      <c r="AW49" s="288"/>
      <c r="AX49" s="287"/>
    </row>
    <row r="50" spans="1:50" ht="14.25" customHeight="1" x14ac:dyDescent="0.3"/>
    <row r="51" spans="1:50" ht="14.25" customHeight="1" x14ac:dyDescent="0.35">
      <c r="B51" s="62" t="s">
        <v>98</v>
      </c>
      <c r="D51" s="63" t="s">
        <v>87</v>
      </c>
      <c r="E51" s="64">
        <f>SUM(H4,M4,AA4:AA6)</f>
        <v>1.9080500284301112E-4</v>
      </c>
      <c r="G51" s="381" t="s">
        <v>210</v>
      </c>
      <c r="H51" s="381"/>
      <c r="I51" s="381"/>
      <c r="J51" s="33"/>
    </row>
    <row r="52" spans="1:50" ht="14.25" customHeight="1" x14ac:dyDescent="0.35">
      <c r="B52" s="65">
        <f>SUM(H4,H8,H12,H18,H22,H26,H30,H39,M39,M40,AA39,AA40,AI40,AI41,AI42,AI43,AI44,AI45,AI46,AI47,AI48,AN39,M4,M8,M12,M18,M22,M26,M30,R12:R16,AA4:AA6,AA8:AA10,AA12:AA14,AA18:AA20,AA22:AA24,AA26:AA28,AA30:AA32)</f>
        <v>0.37510242775990826</v>
      </c>
      <c r="D52" s="63" t="s">
        <v>88</v>
      </c>
      <c r="E52" s="64">
        <f>SUM(H8,M8,AA8:AA10)</f>
        <v>1.3650807916634031E-3</v>
      </c>
      <c r="G52" s="195" t="s">
        <v>86</v>
      </c>
      <c r="H52" s="195" t="s">
        <v>211</v>
      </c>
      <c r="I52" s="195" t="s">
        <v>212</v>
      </c>
      <c r="J52" s="33"/>
    </row>
    <row r="53" spans="1:50" ht="14.25" customHeight="1" x14ac:dyDescent="0.35">
      <c r="B53" s="62" t="s">
        <v>99</v>
      </c>
      <c r="D53" s="63" t="s">
        <v>89</v>
      </c>
      <c r="E53" s="64">
        <f>SUM(H12,M12,R12:R16,AA12:AA14)</f>
        <v>3.2872946598580413E-4</v>
      </c>
      <c r="G53" s="198">
        <f>H4</f>
        <v>4.8506132925294315E-9</v>
      </c>
      <c r="H53" s="203">
        <f>(G53/$G$90)*100%</f>
        <v>1.1831174194801544E-7</v>
      </c>
      <c r="I53" s="199"/>
      <c r="J53" s="33"/>
    </row>
    <row r="54" spans="1:50" ht="14.25" customHeight="1" x14ac:dyDescent="0.35">
      <c r="D54" s="63" t="s">
        <v>90</v>
      </c>
      <c r="E54" s="64">
        <f>SUM(H18,M18,AA18:AA20)</f>
        <v>3.372986343503398E-2</v>
      </c>
      <c r="G54" s="198">
        <f>H8</f>
        <v>1.4167967706914869E-5</v>
      </c>
      <c r="H54" s="203">
        <f t="shared" ref="H54:H89" si="16">(G54/$G$90)*100%</f>
        <v>3.4557216545172718E-4</v>
      </c>
      <c r="I54" s="199"/>
    </row>
    <row r="55" spans="1:50" ht="14.25" customHeight="1" x14ac:dyDescent="0.35">
      <c r="D55" s="63" t="s">
        <v>52</v>
      </c>
      <c r="E55" s="64">
        <f>SUM(H22,M22,AA22:AA24)</f>
        <v>3.6869311592776864E-2</v>
      </c>
      <c r="G55" s="199">
        <f>H12</f>
        <v>0</v>
      </c>
      <c r="H55" s="203">
        <f t="shared" si="16"/>
        <v>0</v>
      </c>
      <c r="I55" s="199"/>
    </row>
    <row r="56" spans="1:50" ht="14.25" customHeight="1" x14ac:dyDescent="0.35">
      <c r="D56" s="63" t="s">
        <v>56</v>
      </c>
      <c r="E56" s="64">
        <f>SUM(H26,M26,AA26:AA28)</f>
        <v>1.3657179058054233E-3</v>
      </c>
      <c r="G56" s="199">
        <f>H18</f>
        <v>0</v>
      </c>
      <c r="H56" s="203">
        <f t="shared" si="16"/>
        <v>0</v>
      </c>
      <c r="I56" s="199"/>
    </row>
    <row r="57" spans="1:50" ht="14.25" customHeight="1" x14ac:dyDescent="0.35">
      <c r="D57" s="63" t="s">
        <v>91</v>
      </c>
      <c r="E57" s="64">
        <f>SUM(H30,M30,AA30:AA32)</f>
        <v>3.4942707521868335E-3</v>
      </c>
      <c r="G57" s="198">
        <f>M4</f>
        <v>3.3038800030255474E-5</v>
      </c>
      <c r="H57" s="203">
        <f t="shared" si="16"/>
        <v>8.0585232169957672E-4</v>
      </c>
      <c r="I57" s="199"/>
    </row>
    <row r="58" spans="1:50" ht="14.25" customHeight="1" x14ac:dyDescent="0.35">
      <c r="D58" s="74" t="s">
        <v>272</v>
      </c>
      <c r="E58" s="303">
        <f>SUM(H39,M39,M40,AA39,AA40,AI40,AI41,AI42,AI43,AI44,AI45,AI46,AI47,AI48,AN39)</f>
        <v>0.29775864881361297</v>
      </c>
      <c r="G58" s="198">
        <f>M8</f>
        <v>2.3392297190240015E-4</v>
      </c>
      <c r="H58" s="203">
        <f t="shared" si="16"/>
        <v>5.7056360955539329E-3</v>
      </c>
      <c r="I58" s="199"/>
    </row>
    <row r="59" spans="1:50" ht="14.25" customHeight="1" x14ac:dyDescent="0.3">
      <c r="D59" s="302"/>
      <c r="E59" s="303">
        <f>SUM(E51:E58)</f>
        <v>0.37510242775990832</v>
      </c>
      <c r="G59" s="198">
        <f>M12</f>
        <v>5.6922528435310099E-5</v>
      </c>
      <c r="H59" s="203">
        <f t="shared" si="16"/>
        <v>1.3884024738972977E-3</v>
      </c>
      <c r="I59" s="199"/>
    </row>
    <row r="60" spans="1:50" ht="14.25" customHeight="1" x14ac:dyDescent="0.35">
      <c r="G60" s="205">
        <f>M18</f>
        <v>5.8406358698090089E-3</v>
      </c>
      <c r="H60" s="206">
        <f t="shared" si="16"/>
        <v>0.14245947103336798</v>
      </c>
      <c r="I60" s="207" t="s">
        <v>246</v>
      </c>
      <c r="W60" s="66"/>
      <c r="X60" s="67"/>
      <c r="Y60" s="68"/>
      <c r="Z60" s="68"/>
      <c r="AA60" s="68"/>
      <c r="AB60" s="380"/>
      <c r="AC60" s="367"/>
      <c r="AD60" s="367"/>
    </row>
    <row r="61" spans="1:50" ht="14.25" customHeight="1" x14ac:dyDescent="0.3">
      <c r="G61" s="198">
        <f>M22</f>
        <v>9.8581534914159134E-5</v>
      </c>
      <c r="H61" s="203">
        <f t="shared" si="16"/>
        <v>2.4045110208159312E-3</v>
      </c>
      <c r="I61" s="199"/>
    </row>
    <row r="62" spans="1:50" ht="14.25" customHeight="1" x14ac:dyDescent="0.3">
      <c r="G62" s="198">
        <f>M26</f>
        <v>2.3257321018032786E-4</v>
      </c>
      <c r="H62" s="203">
        <f t="shared" si="16"/>
        <v>5.6727139368654483E-3</v>
      </c>
      <c r="I62" s="199"/>
    </row>
    <row r="63" spans="1:50" ht="14.25" customHeight="1" x14ac:dyDescent="0.3">
      <c r="G63" s="198">
        <f>M30</f>
        <v>6.0115169936705121E-4</v>
      </c>
      <c r="H63" s="203">
        <f t="shared" si="16"/>
        <v>1.4662744778410713E-2</v>
      </c>
      <c r="I63" s="199"/>
    </row>
    <row r="64" spans="1:50" ht="14.25" customHeight="1" x14ac:dyDescent="0.3">
      <c r="G64" s="199">
        <f>R12</f>
        <v>0</v>
      </c>
      <c r="H64" s="203">
        <f t="shared" si="16"/>
        <v>0</v>
      </c>
      <c r="I64" s="199"/>
    </row>
    <row r="65" spans="7:9" ht="14.25" customHeight="1" x14ac:dyDescent="0.3">
      <c r="G65" s="199">
        <f t="shared" ref="G65:G68" si="17">R13</f>
        <v>0</v>
      </c>
      <c r="H65" s="203">
        <f t="shared" si="16"/>
        <v>0</v>
      </c>
      <c r="I65" s="199"/>
    </row>
    <row r="66" spans="7:9" ht="14.25" customHeight="1" x14ac:dyDescent="0.3">
      <c r="G66" s="199">
        <f t="shared" si="17"/>
        <v>0</v>
      </c>
      <c r="H66" s="203">
        <f t="shared" si="16"/>
        <v>0</v>
      </c>
      <c r="I66" s="199"/>
    </row>
    <row r="67" spans="7:9" ht="14.25" customHeight="1" x14ac:dyDescent="0.3">
      <c r="G67" s="199">
        <f t="shared" si="17"/>
        <v>0</v>
      </c>
      <c r="H67" s="203">
        <f t="shared" si="16"/>
        <v>0</v>
      </c>
      <c r="I67" s="199"/>
    </row>
    <row r="68" spans="7:9" ht="14.25" customHeight="1" x14ac:dyDescent="0.3">
      <c r="G68" s="199">
        <f t="shared" si="17"/>
        <v>0</v>
      </c>
      <c r="H68" s="203">
        <f t="shared" si="16"/>
        <v>0</v>
      </c>
      <c r="I68" s="199"/>
    </row>
    <row r="69" spans="7:9" ht="14.25" customHeight="1" x14ac:dyDescent="0.3">
      <c r="G69" s="198">
        <f>AA4</f>
        <v>7.1917809853804742E-8</v>
      </c>
      <c r="H69" s="203">
        <f t="shared" si="16"/>
        <v>1.7541537219621928E-6</v>
      </c>
      <c r="I69" s="199"/>
    </row>
    <row r="70" spans="7:9" ht="14.25" customHeight="1" x14ac:dyDescent="0.3">
      <c r="G70" s="198">
        <f t="shared" ref="G70:G71" si="18">AA5</f>
        <v>8.9588551269946758E-6</v>
      </c>
      <c r="H70" s="203">
        <f t="shared" si="16"/>
        <v>2.1851623537318254E-4</v>
      </c>
      <c r="I70" s="199"/>
    </row>
    <row r="71" spans="7:9" ht="14.25" customHeight="1" x14ac:dyDescent="0.3">
      <c r="G71" s="198">
        <f t="shared" si="18"/>
        <v>1.4873057926261462E-4</v>
      </c>
      <c r="H71" s="203">
        <f t="shared" si="16"/>
        <v>3.6277008395202942E-3</v>
      </c>
      <c r="I71" s="199"/>
    </row>
    <row r="72" spans="7:9" ht="14.25" customHeight="1" x14ac:dyDescent="0.3">
      <c r="G72" s="198">
        <f>AA8</f>
        <v>5.0919609060582574E-7</v>
      </c>
      <c r="H72" s="203">
        <f t="shared" si="16"/>
        <v>1.2419847314045435E-5</v>
      </c>
      <c r="I72" s="199"/>
    </row>
    <row r="73" spans="7:9" ht="14.25" customHeight="1" x14ac:dyDescent="0.3">
      <c r="G73" s="198">
        <f>AA9</f>
        <v>6.3430936178993059E-5</v>
      </c>
      <c r="H73" s="203">
        <f t="shared" si="16"/>
        <v>1.547149628334246E-3</v>
      </c>
      <c r="I73" s="199"/>
    </row>
    <row r="74" spans="7:9" ht="14.25" customHeight="1" x14ac:dyDescent="0.3">
      <c r="G74" s="198">
        <f>AA10</f>
        <v>1.0530497197844891E-3</v>
      </c>
      <c r="H74" s="203">
        <f t="shared" si="16"/>
        <v>2.5685029746125961E-2</v>
      </c>
      <c r="I74" s="199"/>
    </row>
    <row r="75" spans="7:9" ht="14.25" customHeight="1" x14ac:dyDescent="0.3">
      <c r="G75" s="198">
        <f>AA12</f>
        <v>1.2390715076393683E-7</v>
      </c>
      <c r="H75" s="203">
        <f t="shared" si="16"/>
        <v>3.0222303784295727E-6</v>
      </c>
      <c r="I75" s="199"/>
    </row>
    <row r="76" spans="7:9" ht="14.25" customHeight="1" x14ac:dyDescent="0.3">
      <c r="G76" s="198">
        <f>AA13</f>
        <v>1.5435206037966833E-5</v>
      </c>
      <c r="H76" s="203">
        <f t="shared" si="16"/>
        <v>3.7648148874100363E-4</v>
      </c>
      <c r="I76" s="199"/>
    </row>
    <row r="77" spans="7:9" ht="14.25" customHeight="1" x14ac:dyDescent="0.3">
      <c r="G77" s="198">
        <f>AA14</f>
        <v>2.5624782436176323E-4</v>
      </c>
      <c r="H77" s="203">
        <f t="shared" si="16"/>
        <v>6.2501635653622583E-3</v>
      </c>
      <c r="I77" s="199"/>
    </row>
    <row r="78" spans="7:9" ht="14.25" customHeight="1" x14ac:dyDescent="0.3">
      <c r="G78" s="198">
        <f>AA18</f>
        <v>1.2713710532028295E-5</v>
      </c>
      <c r="H78" s="203">
        <f t="shared" si="16"/>
        <v>3.1010124884284847E-4</v>
      </c>
      <c r="I78" s="199"/>
    </row>
    <row r="79" spans="7:9" ht="14.25" customHeight="1" x14ac:dyDescent="0.3">
      <c r="G79" s="198">
        <f>AA19</f>
        <v>1.583756388223245E-3</v>
      </c>
      <c r="H79" s="203">
        <f t="shared" si="16"/>
        <v>3.8629543484856678E-2</v>
      </c>
      <c r="I79" s="199"/>
    </row>
    <row r="80" spans="7:9" ht="14.25" customHeight="1" x14ac:dyDescent="0.3">
      <c r="G80" s="205">
        <f>AA20</f>
        <v>2.62927574664697E-2</v>
      </c>
      <c r="H80" s="206">
        <f t="shared" si="16"/>
        <v>0.64130899514617301</v>
      </c>
      <c r="I80" s="207" t="s">
        <v>245</v>
      </c>
    </row>
    <row r="81" spans="7:9" ht="14.25" customHeight="1" x14ac:dyDescent="0.3">
      <c r="G81" s="198">
        <f>AA22</f>
        <v>2.1458915204426953E-7</v>
      </c>
      <c r="H81" s="203">
        <f t="shared" si="16"/>
        <v>5.2340631690030808E-6</v>
      </c>
      <c r="I81" s="199"/>
    </row>
    <row r="82" spans="7:9" ht="14.25" customHeight="1" x14ac:dyDescent="0.3">
      <c r="G82" s="198">
        <f>AA23</f>
        <v>2.6731530463695527E-5</v>
      </c>
      <c r="H82" s="203">
        <f t="shared" si="16"/>
        <v>6.5201114650123787E-4</v>
      </c>
      <c r="I82" s="199"/>
    </row>
    <row r="83" spans="7:9" ht="14.25" customHeight="1" x14ac:dyDescent="0.3">
      <c r="G83" s="198">
        <f>AA24</f>
        <v>4.4378393824695995E-4</v>
      </c>
      <c r="H83" s="203">
        <f t="shared" si="16"/>
        <v>1.0824373664957495E-2</v>
      </c>
      <c r="I83" s="199"/>
    </row>
    <row r="84" spans="7:9" ht="14.25" customHeight="1" x14ac:dyDescent="0.3">
      <c r="G84" s="198">
        <f>AA26</f>
        <v>5.0625797218787332E-7</v>
      </c>
      <c r="H84" s="203">
        <f t="shared" si="16"/>
        <v>1.2348183405357256E-5</v>
      </c>
      <c r="I84" s="199"/>
    </row>
    <row r="85" spans="7:9" ht="14.25" customHeight="1" x14ac:dyDescent="0.3">
      <c r="G85" s="198">
        <f>AA27</f>
        <v>6.3064932579802571E-5</v>
      </c>
      <c r="H85" s="203">
        <f t="shared" si="16"/>
        <v>1.5382224018645207E-3</v>
      </c>
      <c r="I85" s="199"/>
    </row>
    <row r="86" spans="7:9" ht="14.25" customHeight="1" x14ac:dyDescent="0.3">
      <c r="G86" s="198">
        <f>AA28</f>
        <v>1.046973505073105E-3</v>
      </c>
      <c r="H86" s="203">
        <f t="shared" si="16"/>
        <v>2.5536824250531994E-2</v>
      </c>
      <c r="I86" s="199"/>
    </row>
    <row r="87" spans="7:9" ht="14.25" customHeight="1" x14ac:dyDescent="0.3">
      <c r="G87" s="198">
        <f>AA30</f>
        <v>1.3085679131439353E-6</v>
      </c>
      <c r="H87" s="203">
        <f t="shared" si="16"/>
        <v>3.1917396816559144E-5</v>
      </c>
      <c r="I87" s="199"/>
    </row>
    <row r="88" spans="7:9" ht="14.25" customHeight="1" x14ac:dyDescent="0.3">
      <c r="G88" s="198">
        <f>AA31</f>
        <v>1.6300927936378274E-4</v>
      </c>
      <c r="H88" s="203">
        <f t="shared" si="16"/>
        <v>3.9759738886879746E-3</v>
      </c>
      <c r="I88" s="199"/>
    </row>
    <row r="89" spans="7:9" ht="14.25" customHeight="1" x14ac:dyDescent="0.3">
      <c r="G89" s="205">
        <f>AA32</f>
        <v>2.7062012055428554E-3</v>
      </c>
      <c r="H89" s="206">
        <f t="shared" si="16"/>
        <v>6.6007195251517131E-2</v>
      </c>
      <c r="I89" s="207" t="s">
        <v>247</v>
      </c>
    </row>
    <row r="90" spans="7:9" ht="14.25" customHeight="1" x14ac:dyDescent="0.3">
      <c r="G90" s="208">
        <f>SUM(G53:G89)</f>
        <v>4.0998578946295328E-2</v>
      </c>
      <c r="H90" s="204">
        <f>SUM(H53:H89)</f>
        <v>0.99999999999999967</v>
      </c>
      <c r="I90" s="186"/>
    </row>
    <row r="91" spans="7:9" ht="14.25" customHeight="1" x14ac:dyDescent="0.3"/>
    <row r="92" spans="7:9" ht="14.25" customHeight="1" x14ac:dyDescent="0.3"/>
    <row r="93" spans="7:9" ht="14.25" customHeight="1" x14ac:dyDescent="0.3"/>
    <row r="94" spans="7:9" ht="14.25" customHeight="1" x14ac:dyDescent="0.3"/>
    <row r="95" spans="7:9" ht="14.25" customHeight="1" x14ac:dyDescent="0.3"/>
    <row r="96" spans="7:9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</sheetData>
  <mergeCells count="63">
    <mergeCell ref="A39:A49"/>
    <mergeCell ref="B39:B49"/>
    <mergeCell ref="D1:V1"/>
    <mergeCell ref="AH2:AH3"/>
    <mergeCell ref="AI2:AI3"/>
    <mergeCell ref="AG2:AG3"/>
    <mergeCell ref="E2:E3"/>
    <mergeCell ref="F2:F3"/>
    <mergeCell ref="A4:A7"/>
    <mergeCell ref="B4:B7"/>
    <mergeCell ref="A30:A38"/>
    <mergeCell ref="B30:B38"/>
    <mergeCell ref="A12:A17"/>
    <mergeCell ref="A18:A21"/>
    <mergeCell ref="B18:B21"/>
    <mergeCell ref="A22:A25"/>
    <mergeCell ref="AP2:AP3"/>
    <mergeCell ref="AQ2:AQ3"/>
    <mergeCell ref="A1:A3"/>
    <mergeCell ref="B1:B3"/>
    <mergeCell ref="C1:C3"/>
    <mergeCell ref="W1:AQ1"/>
    <mergeCell ref="K2:K3"/>
    <mergeCell ref="L2:L3"/>
    <mergeCell ref="M2:M3"/>
    <mergeCell ref="N2:N3"/>
    <mergeCell ref="O2:O3"/>
    <mergeCell ref="P2:P3"/>
    <mergeCell ref="Q2:Q3"/>
    <mergeCell ref="AF2:AF3"/>
    <mergeCell ref="AR1:AR3"/>
    <mergeCell ref="D2:D3"/>
    <mergeCell ref="X2:X3"/>
    <mergeCell ref="Y2:Y3"/>
    <mergeCell ref="Z2:Z3"/>
    <mergeCell ref="AA2:AA3"/>
    <mergeCell ref="AB2:AB3"/>
    <mergeCell ref="AC2:AC3"/>
    <mergeCell ref="AJ2:AJ3"/>
    <mergeCell ref="AK2:AK3"/>
    <mergeCell ref="AL2:AL3"/>
    <mergeCell ref="AO2:AO3"/>
    <mergeCell ref="G2:G3"/>
    <mergeCell ref="H2:H3"/>
    <mergeCell ref="AM2:AM3"/>
    <mergeCell ref="AN2:AN3"/>
    <mergeCell ref="AB60:AD60"/>
    <mergeCell ref="AD2:AD3"/>
    <mergeCell ref="AE2:AE3"/>
    <mergeCell ref="I2:I3"/>
    <mergeCell ref="J2:J3"/>
    <mergeCell ref="S2:T2"/>
    <mergeCell ref="W2:W3"/>
    <mergeCell ref="G51:I51"/>
    <mergeCell ref="R2:R3"/>
    <mergeCell ref="U2:U3"/>
    <mergeCell ref="V2:V3"/>
    <mergeCell ref="B22:B25"/>
    <mergeCell ref="A26:A29"/>
    <mergeCell ref="B26:B29"/>
    <mergeCell ref="A8:A11"/>
    <mergeCell ref="B8:B11"/>
    <mergeCell ref="B12:B17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4A86E8"/>
  </sheetPr>
  <dimension ref="A1:AC990"/>
  <sheetViews>
    <sheetView topLeftCell="H10" zoomScale="70" zoomScaleNormal="70" workbookViewId="0">
      <selection activeCell="A22" sqref="A22"/>
    </sheetView>
  </sheetViews>
  <sheetFormatPr defaultColWidth="12.58203125" defaultRowHeight="15" customHeight="1" x14ac:dyDescent="0.3"/>
  <cols>
    <col min="1" max="1" width="4.75" customWidth="1"/>
    <col min="2" max="2" width="19.58203125" customWidth="1"/>
    <col min="3" max="3" width="10.83203125" customWidth="1"/>
    <col min="4" max="4" width="9.25" customWidth="1"/>
    <col min="5" max="5" width="7.58203125" customWidth="1"/>
    <col min="6" max="6" width="12.83203125" customWidth="1"/>
    <col min="7" max="7" width="9.75" customWidth="1"/>
    <col min="8" max="9" width="7.58203125" customWidth="1"/>
    <col min="10" max="10" width="12.08203125" customWidth="1"/>
    <col min="11" max="11" width="7.58203125" customWidth="1"/>
    <col min="12" max="12" width="10.83203125" customWidth="1"/>
    <col min="13" max="13" width="7.58203125" customWidth="1"/>
    <col min="14" max="14" width="12.5" customWidth="1"/>
    <col min="15" max="15" width="11.08203125" customWidth="1"/>
    <col min="16" max="16" width="9" customWidth="1"/>
    <col min="17" max="17" width="13.5" customWidth="1"/>
    <col min="18" max="18" width="8" customWidth="1"/>
    <col min="19" max="19" width="7.58203125" customWidth="1"/>
    <col min="20" max="20" width="18.75" customWidth="1"/>
    <col min="21" max="21" width="10.33203125" customWidth="1"/>
    <col min="22" max="22" width="7.58203125" customWidth="1"/>
    <col min="23" max="23" width="10.75" customWidth="1"/>
    <col min="24" max="24" width="14.83203125" customWidth="1"/>
    <col min="25" max="25" width="7.58203125" customWidth="1"/>
    <col min="26" max="26" width="21.33203125" customWidth="1"/>
    <col min="27" max="27" width="8.33203125" customWidth="1"/>
    <col min="28" max="28" width="7.58203125" customWidth="1"/>
    <col min="29" max="29" width="16.58203125" customWidth="1"/>
  </cols>
  <sheetData>
    <row r="1" spans="1:29" ht="14.25" customHeight="1" x14ac:dyDescent="0.3">
      <c r="A1" s="388" t="s">
        <v>0</v>
      </c>
      <c r="B1" s="391" t="s">
        <v>104</v>
      </c>
      <c r="C1" s="392" t="s">
        <v>3</v>
      </c>
      <c r="D1" s="371"/>
      <c r="E1" s="371"/>
      <c r="F1" s="371"/>
      <c r="G1" s="371"/>
      <c r="H1" s="371"/>
      <c r="I1" s="371"/>
      <c r="J1" s="371"/>
      <c r="K1" s="371"/>
      <c r="L1" s="371"/>
      <c r="M1" s="372"/>
      <c r="N1" s="393" t="s">
        <v>4</v>
      </c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2"/>
      <c r="AC1" s="386" t="s">
        <v>5</v>
      </c>
    </row>
    <row r="2" spans="1:29" ht="14.25" customHeight="1" x14ac:dyDescent="0.3">
      <c r="A2" s="389"/>
      <c r="B2" s="353"/>
      <c r="C2" s="387" t="s">
        <v>6</v>
      </c>
      <c r="D2" s="387" t="s">
        <v>7</v>
      </c>
      <c r="E2" s="387" t="s">
        <v>8</v>
      </c>
      <c r="F2" s="387" t="s">
        <v>9</v>
      </c>
      <c r="G2" s="387" t="s">
        <v>7</v>
      </c>
      <c r="H2" s="387" t="s">
        <v>8</v>
      </c>
      <c r="I2" s="387" t="s">
        <v>105</v>
      </c>
      <c r="J2" s="387" t="s">
        <v>7</v>
      </c>
      <c r="K2" s="387" t="s">
        <v>8</v>
      </c>
      <c r="L2" s="394" t="s">
        <v>11</v>
      </c>
      <c r="M2" s="372"/>
      <c r="N2" s="385" t="s">
        <v>12</v>
      </c>
      <c r="O2" s="385" t="s">
        <v>7</v>
      </c>
      <c r="P2" s="385" t="s">
        <v>8</v>
      </c>
      <c r="Q2" s="385" t="s">
        <v>13</v>
      </c>
      <c r="R2" s="385" t="s">
        <v>7</v>
      </c>
      <c r="S2" s="385" t="s">
        <v>8</v>
      </c>
      <c r="T2" s="385" t="s">
        <v>14</v>
      </c>
      <c r="U2" s="385" t="s">
        <v>7</v>
      </c>
      <c r="V2" s="385" t="s">
        <v>8</v>
      </c>
      <c r="W2" s="385" t="s">
        <v>15</v>
      </c>
      <c r="X2" s="385" t="s">
        <v>7</v>
      </c>
      <c r="Y2" s="385" t="s">
        <v>8</v>
      </c>
      <c r="Z2" s="385" t="s">
        <v>16</v>
      </c>
      <c r="AA2" s="385" t="s">
        <v>7</v>
      </c>
      <c r="AB2" s="385" t="s">
        <v>8</v>
      </c>
      <c r="AC2" s="353"/>
    </row>
    <row r="3" spans="1:29" ht="14.25" customHeight="1" x14ac:dyDescent="0.3">
      <c r="A3" s="390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75" t="s">
        <v>17</v>
      </c>
      <c r="M3" s="75" t="s">
        <v>8</v>
      </c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</row>
    <row r="4" spans="1:29" ht="14.25" customHeight="1" x14ac:dyDescent="0.3">
      <c r="A4" s="187">
        <v>1</v>
      </c>
      <c r="B4" s="77" t="s">
        <v>100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</row>
    <row r="5" spans="1:29" ht="14.25" customHeight="1" x14ac:dyDescent="0.3">
      <c r="A5" s="79"/>
      <c r="B5" s="79" t="s">
        <v>106</v>
      </c>
      <c r="C5" s="80" t="s">
        <v>107</v>
      </c>
      <c r="D5" s="81">
        <f>42+249.16+46.77+65.84</f>
        <v>403.77</v>
      </c>
      <c r="E5" s="125" t="s">
        <v>21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</row>
    <row r="6" spans="1:29" ht="14.25" customHeight="1" x14ac:dyDescent="0.3">
      <c r="A6" s="79"/>
      <c r="B6" s="79" t="s">
        <v>108</v>
      </c>
      <c r="C6" s="80" t="s">
        <v>109</v>
      </c>
      <c r="D6" s="82">
        <f>(65.84+46.77)*625</f>
        <v>70381.250000000015</v>
      </c>
      <c r="E6" s="125" t="s">
        <v>110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0" t="s">
        <v>111</v>
      </c>
      <c r="R6" s="82">
        <f>D6</f>
        <v>70381.250000000015</v>
      </c>
      <c r="S6" s="125" t="s">
        <v>110</v>
      </c>
      <c r="T6" s="78"/>
      <c r="U6" s="78"/>
      <c r="V6" s="78"/>
      <c r="W6" s="78"/>
      <c r="X6" s="78"/>
      <c r="Y6" s="78"/>
      <c r="Z6" s="80" t="s">
        <v>112</v>
      </c>
      <c r="AA6" s="83">
        <f>R6*(20/1000000)</f>
        <v>1.4076250000000003</v>
      </c>
      <c r="AB6" s="125" t="s">
        <v>55</v>
      </c>
      <c r="AC6" s="79"/>
    </row>
    <row r="7" spans="1:29" ht="14.25" customHeight="1" x14ac:dyDescent="0.3">
      <c r="A7" s="79"/>
      <c r="B7" s="79"/>
      <c r="C7" s="80" t="s">
        <v>113</v>
      </c>
      <c r="D7" s="83">
        <f>(D6*2)/1000</f>
        <v>140.76250000000002</v>
      </c>
      <c r="E7" s="125" t="s">
        <v>55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84"/>
      <c r="AB7" s="85"/>
      <c r="AC7" s="79"/>
    </row>
    <row r="8" spans="1:29" ht="14.25" customHeight="1" x14ac:dyDescent="0.3">
      <c r="A8" s="79"/>
      <c r="B8" s="79" t="s">
        <v>114</v>
      </c>
      <c r="C8" s="78"/>
      <c r="D8" s="85"/>
      <c r="E8" s="85"/>
      <c r="F8" s="80" t="s">
        <v>22</v>
      </c>
      <c r="G8" s="86">
        <f>(1*2000*12)+(1/3*1000*12)</f>
        <v>28000</v>
      </c>
      <c r="H8" s="188" t="s">
        <v>23</v>
      </c>
      <c r="I8" s="78"/>
      <c r="J8" s="78"/>
      <c r="K8" s="78"/>
      <c r="L8" s="78"/>
      <c r="M8" s="78"/>
      <c r="N8" s="87" t="s">
        <v>24</v>
      </c>
      <c r="O8" s="88">
        <f t="shared" ref="O8:O9" si="0">($G$8*$J$40)*K33</f>
        <v>0.12567744</v>
      </c>
      <c r="P8" s="9" t="s">
        <v>25</v>
      </c>
      <c r="Q8" s="78"/>
      <c r="R8" s="78"/>
      <c r="S8" s="78"/>
      <c r="T8" s="78"/>
      <c r="U8" s="78"/>
      <c r="V8" s="78"/>
      <c r="W8" s="78"/>
      <c r="X8" s="78"/>
      <c r="Y8" s="78"/>
      <c r="Z8" s="78"/>
      <c r="AA8" s="84"/>
      <c r="AB8" s="85"/>
      <c r="AC8" s="79"/>
    </row>
    <row r="9" spans="1:29" ht="14.25" customHeight="1" x14ac:dyDescent="0.3">
      <c r="A9" s="76"/>
      <c r="B9" s="79"/>
      <c r="C9" s="78"/>
      <c r="D9" s="85"/>
      <c r="E9" s="85"/>
      <c r="F9" s="78"/>
      <c r="G9" s="85"/>
      <c r="H9" s="85"/>
      <c r="I9" s="78"/>
      <c r="J9" s="89"/>
      <c r="K9" s="78"/>
      <c r="L9" s="78"/>
      <c r="M9" s="78"/>
      <c r="N9" s="87" t="s">
        <v>29</v>
      </c>
      <c r="O9" s="88">
        <f t="shared" si="0"/>
        <v>1.9111276800000001</v>
      </c>
      <c r="P9" s="18" t="s">
        <v>30</v>
      </c>
      <c r="Q9" s="78"/>
      <c r="R9" s="78"/>
      <c r="S9" s="78"/>
      <c r="T9" s="78"/>
      <c r="U9" s="78"/>
      <c r="V9" s="78"/>
      <c r="W9" s="78"/>
      <c r="X9" s="78"/>
      <c r="Y9" s="78"/>
      <c r="Z9" s="90"/>
      <c r="AA9" s="91"/>
      <c r="AB9" s="191"/>
      <c r="AC9" s="79"/>
    </row>
    <row r="10" spans="1:29" ht="14.25" customHeight="1" x14ac:dyDescent="0.3">
      <c r="A10" s="76"/>
      <c r="B10" s="79"/>
      <c r="C10" s="78"/>
      <c r="D10" s="85"/>
      <c r="E10" s="85"/>
      <c r="F10" s="78"/>
      <c r="G10" s="85"/>
      <c r="H10" s="85"/>
      <c r="I10" s="78"/>
      <c r="J10" s="89"/>
      <c r="K10" s="78"/>
      <c r="L10" s="78"/>
      <c r="M10" s="78"/>
      <c r="N10" s="87" t="s">
        <v>31</v>
      </c>
      <c r="O10" s="88">
        <f>($G$8*$J$40)*K36</f>
        <v>74.692799999999991</v>
      </c>
      <c r="P10" s="18" t="s">
        <v>32</v>
      </c>
      <c r="Q10" s="78"/>
      <c r="R10" s="78"/>
      <c r="S10" s="78"/>
      <c r="T10" s="78"/>
      <c r="U10" s="78"/>
      <c r="V10" s="78"/>
      <c r="W10" s="78"/>
      <c r="X10" s="78"/>
      <c r="Y10" s="78"/>
      <c r="Z10" s="90"/>
      <c r="AA10" s="91"/>
      <c r="AB10" s="191"/>
      <c r="AC10" s="79"/>
    </row>
    <row r="11" spans="1:29" ht="14.25" customHeight="1" x14ac:dyDescent="0.3">
      <c r="A11" s="76"/>
      <c r="B11" s="79"/>
      <c r="C11" s="78"/>
      <c r="D11" s="85"/>
      <c r="E11" s="85"/>
      <c r="F11" s="78"/>
      <c r="G11" s="85"/>
      <c r="H11" s="85"/>
      <c r="I11" s="78"/>
      <c r="J11" s="89"/>
      <c r="K11" s="78"/>
      <c r="L11" s="78"/>
      <c r="M11" s="78"/>
      <c r="N11" s="78"/>
      <c r="O11" s="93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90"/>
      <c r="AA11" s="91"/>
      <c r="AB11" s="191"/>
      <c r="AC11" s="79"/>
    </row>
    <row r="12" spans="1:29" ht="14.25" customHeight="1" x14ac:dyDescent="0.3">
      <c r="A12" s="76"/>
      <c r="B12" s="79"/>
      <c r="C12" s="78"/>
      <c r="D12" s="85"/>
      <c r="E12" s="85"/>
      <c r="F12" s="78"/>
      <c r="G12" s="85"/>
      <c r="H12" s="85"/>
      <c r="I12" s="78"/>
      <c r="J12" s="89"/>
      <c r="K12" s="78"/>
      <c r="L12" s="78"/>
      <c r="M12" s="78"/>
      <c r="N12" s="78"/>
      <c r="O12" s="93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90"/>
      <c r="AA12" s="91"/>
      <c r="AB12" s="191"/>
      <c r="AC12" s="79"/>
    </row>
    <row r="13" spans="1:29" ht="14.25" customHeight="1" x14ac:dyDescent="0.3">
      <c r="A13" s="187">
        <v>2</v>
      </c>
      <c r="B13" s="77" t="s">
        <v>101</v>
      </c>
      <c r="C13" s="78"/>
      <c r="D13" s="85"/>
      <c r="E13" s="85"/>
      <c r="F13" s="80" t="s">
        <v>22</v>
      </c>
      <c r="G13" s="86">
        <f>(2000*12*2)+((1/3*1000*12)*2)+(100*12)</f>
        <v>57200</v>
      </c>
      <c r="H13" s="188" t="s">
        <v>23</v>
      </c>
      <c r="I13" s="80" t="s">
        <v>115</v>
      </c>
      <c r="J13" s="94">
        <v>197005</v>
      </c>
      <c r="K13" s="125" t="s">
        <v>42</v>
      </c>
      <c r="L13" s="78"/>
      <c r="M13" s="78"/>
      <c r="N13" s="87" t="s">
        <v>24</v>
      </c>
      <c r="O13" s="88">
        <f t="shared" ref="O13:O14" si="1">($G$13*$J$40)*K33</f>
        <v>0.25674105600000002</v>
      </c>
      <c r="P13" s="9" t="s">
        <v>25</v>
      </c>
      <c r="Q13" s="78"/>
      <c r="R13" s="78"/>
      <c r="S13" s="78"/>
      <c r="T13" s="78"/>
      <c r="U13" s="78"/>
      <c r="V13" s="78"/>
      <c r="W13" s="80" t="s">
        <v>116</v>
      </c>
      <c r="X13" s="94">
        <f>13395411.9080281/1000</f>
        <v>13395.4119080281</v>
      </c>
      <c r="Y13" s="188" t="s">
        <v>35</v>
      </c>
      <c r="Z13" s="95" t="s">
        <v>117</v>
      </c>
      <c r="AA13" s="96">
        <f t="shared" ref="AA13:AA14" si="2">(J13/25)*(50/1000000)</f>
        <v>0.39401000000000003</v>
      </c>
      <c r="AB13" s="114" t="s">
        <v>55</v>
      </c>
      <c r="AC13" s="79"/>
    </row>
    <row r="14" spans="1:29" ht="14.25" customHeight="1" x14ac:dyDescent="0.3">
      <c r="A14" s="79"/>
      <c r="B14" s="79"/>
      <c r="C14" s="78"/>
      <c r="D14" s="85"/>
      <c r="E14" s="85"/>
      <c r="F14" s="78"/>
      <c r="G14" s="85"/>
      <c r="H14" s="85"/>
      <c r="I14" s="80" t="s">
        <v>118</v>
      </c>
      <c r="J14" s="94">
        <v>72425</v>
      </c>
      <c r="K14" s="125" t="s">
        <v>42</v>
      </c>
      <c r="L14" s="78"/>
      <c r="M14" s="78"/>
      <c r="N14" s="87" t="s">
        <v>29</v>
      </c>
      <c r="O14" s="88">
        <f t="shared" si="1"/>
        <v>3.9041608320000005</v>
      </c>
      <c r="P14" s="18" t="s">
        <v>30</v>
      </c>
      <c r="Q14" s="78"/>
      <c r="R14" s="78"/>
      <c r="S14" s="78"/>
      <c r="T14" s="78"/>
      <c r="U14" s="78"/>
      <c r="V14" s="78"/>
      <c r="W14" s="80" t="s">
        <v>119</v>
      </c>
      <c r="X14" s="94">
        <f>(18*X13)</f>
        <v>241117.41434450579</v>
      </c>
      <c r="Y14" s="188" t="s">
        <v>120</v>
      </c>
      <c r="Z14" s="95" t="s">
        <v>121</v>
      </c>
      <c r="AA14" s="96">
        <f t="shared" si="2"/>
        <v>0.14485000000000001</v>
      </c>
      <c r="AB14" s="114" t="s">
        <v>55</v>
      </c>
      <c r="AC14" s="79"/>
    </row>
    <row r="15" spans="1:29" ht="14.25" customHeight="1" x14ac:dyDescent="0.3">
      <c r="A15" s="79"/>
      <c r="B15" s="79"/>
      <c r="C15" s="78"/>
      <c r="D15" s="85"/>
      <c r="E15" s="85"/>
      <c r="F15" s="78"/>
      <c r="G15" s="85"/>
      <c r="H15" s="85"/>
      <c r="I15" s="78"/>
      <c r="J15" s="78"/>
      <c r="K15" s="78"/>
      <c r="L15" s="78"/>
      <c r="M15" s="78"/>
      <c r="N15" s="87" t="s">
        <v>31</v>
      </c>
      <c r="O15" s="88">
        <f>($G$13*$J$40)*K36</f>
        <v>152.58671999999999</v>
      </c>
      <c r="P15" s="18" t="s">
        <v>32</v>
      </c>
      <c r="Q15" s="78"/>
      <c r="R15" s="78"/>
      <c r="S15" s="78"/>
      <c r="T15" s="78"/>
      <c r="U15" s="78"/>
      <c r="V15" s="78"/>
      <c r="W15" s="80" t="s">
        <v>122</v>
      </c>
      <c r="X15" s="94">
        <f>(0.02*X13)</f>
        <v>267.90823816056201</v>
      </c>
      <c r="Y15" s="188" t="s">
        <v>120</v>
      </c>
      <c r="Z15" s="78"/>
      <c r="AA15" s="97"/>
      <c r="AB15" s="78"/>
      <c r="AC15" s="79"/>
    </row>
    <row r="16" spans="1:29" ht="14.25" customHeight="1" x14ac:dyDescent="0.3">
      <c r="A16" s="98"/>
      <c r="B16" s="98"/>
      <c r="C16" s="84"/>
      <c r="D16" s="99"/>
      <c r="E16" s="99"/>
      <c r="F16" s="84"/>
      <c r="G16" s="99"/>
      <c r="H16" s="99"/>
      <c r="I16" s="84"/>
      <c r="J16" s="84"/>
      <c r="K16" s="84"/>
      <c r="L16" s="84"/>
      <c r="M16" s="84"/>
      <c r="N16" s="84"/>
      <c r="O16" s="100"/>
      <c r="P16" s="84"/>
      <c r="Q16" s="84"/>
      <c r="R16" s="84"/>
      <c r="S16" s="84"/>
      <c r="T16" s="84"/>
      <c r="U16" s="84"/>
      <c r="V16" s="84"/>
      <c r="W16" s="101" t="s">
        <v>123</v>
      </c>
      <c r="X16" s="102">
        <f>(0.9*X13)</f>
        <v>12055.870717225291</v>
      </c>
      <c r="Y16" s="192" t="s">
        <v>120</v>
      </c>
      <c r="Z16" s="84"/>
      <c r="AA16" s="84"/>
      <c r="AB16" s="84"/>
      <c r="AC16" s="98"/>
    </row>
    <row r="17" spans="1:29" ht="12.75" customHeight="1" x14ac:dyDescent="0.3">
      <c r="A17" s="103"/>
      <c r="B17" s="98"/>
      <c r="C17" s="84"/>
      <c r="D17" s="99"/>
      <c r="E17" s="99"/>
      <c r="F17" s="84"/>
      <c r="G17" s="99"/>
      <c r="H17" s="99"/>
      <c r="I17" s="84"/>
      <c r="J17" s="84"/>
      <c r="K17" s="84"/>
      <c r="L17" s="84"/>
      <c r="M17" s="84"/>
      <c r="N17" s="84"/>
      <c r="O17" s="100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98"/>
    </row>
    <row r="18" spans="1:29" ht="12.75" customHeight="1" x14ac:dyDescent="0.3">
      <c r="A18" s="187">
        <v>3</v>
      </c>
      <c r="B18" s="104" t="s">
        <v>102</v>
      </c>
      <c r="C18" s="78"/>
      <c r="D18" s="85"/>
      <c r="E18" s="85"/>
      <c r="F18" s="79" t="s">
        <v>22</v>
      </c>
      <c r="G18" s="76">
        <v>9289140</v>
      </c>
      <c r="H18" s="189" t="s">
        <v>23</v>
      </c>
      <c r="I18" s="78"/>
      <c r="J18" s="78"/>
      <c r="K18" s="78"/>
      <c r="L18" s="105">
        <v>2731.68</v>
      </c>
      <c r="M18" s="190" t="s">
        <v>35</v>
      </c>
      <c r="N18" s="87" t="s">
        <v>24</v>
      </c>
      <c r="O18" s="106">
        <f t="shared" ref="O18:O19" si="3">($G$18*$J$40)*K33</f>
        <v>41.694119107200002</v>
      </c>
      <c r="P18" s="9" t="s">
        <v>25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9"/>
    </row>
    <row r="19" spans="1:29" ht="14.25" customHeight="1" x14ac:dyDescent="0.3">
      <c r="A19" s="79"/>
      <c r="B19" s="79"/>
      <c r="C19" s="78"/>
      <c r="D19" s="85"/>
      <c r="E19" s="85"/>
      <c r="F19" s="78"/>
      <c r="G19" s="107"/>
      <c r="H19" s="78"/>
      <c r="I19" s="78"/>
      <c r="J19" s="78"/>
      <c r="K19" s="78"/>
      <c r="L19" s="78"/>
      <c r="M19" s="78"/>
      <c r="N19" s="87" t="s">
        <v>29</v>
      </c>
      <c r="O19" s="106">
        <f t="shared" si="3"/>
        <v>634.02616347840001</v>
      </c>
      <c r="P19" s="18" t="s">
        <v>30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9"/>
    </row>
    <row r="20" spans="1:29" ht="14.25" customHeight="1" x14ac:dyDescent="0.3">
      <c r="A20" s="79"/>
      <c r="B20" s="79"/>
      <c r="C20" s="78"/>
      <c r="D20" s="85"/>
      <c r="E20" s="85"/>
      <c r="F20" s="78"/>
      <c r="G20" s="107"/>
      <c r="H20" s="78"/>
      <c r="I20" s="78"/>
      <c r="J20" s="78"/>
      <c r="K20" s="78"/>
      <c r="L20" s="78"/>
      <c r="M20" s="78"/>
      <c r="N20" s="87" t="s">
        <v>31</v>
      </c>
      <c r="O20" s="106">
        <f>($G$18*$J$40)*K36</f>
        <v>24779.709863999997</v>
      </c>
      <c r="P20" s="18" t="s">
        <v>32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9"/>
    </row>
    <row r="21" spans="1:29" ht="14.25" customHeight="1" x14ac:dyDescent="0.3">
      <c r="A21" s="79"/>
      <c r="B21" s="79"/>
      <c r="C21" s="78"/>
      <c r="D21" s="85"/>
      <c r="E21" s="85"/>
      <c r="F21" s="78"/>
      <c r="G21" s="107"/>
      <c r="H21" s="78"/>
      <c r="I21" s="78"/>
      <c r="J21" s="78"/>
      <c r="K21" s="78"/>
      <c r="L21" s="78"/>
      <c r="M21" s="78"/>
      <c r="N21" s="78"/>
      <c r="O21" s="85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9"/>
    </row>
    <row r="22" spans="1:29" ht="14.25" customHeight="1" x14ac:dyDescent="0.3">
      <c r="A22" s="187">
        <v>4</v>
      </c>
      <c r="B22" s="77" t="s">
        <v>103</v>
      </c>
      <c r="C22" s="80" t="s">
        <v>124</v>
      </c>
      <c r="D22" s="86">
        <f>U22+107.52</f>
        <v>896.52</v>
      </c>
      <c r="E22" s="125" t="s">
        <v>55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80" t="s">
        <v>124</v>
      </c>
      <c r="U22" s="86">
        <v>789</v>
      </c>
      <c r="V22" s="125" t="s">
        <v>55</v>
      </c>
      <c r="W22" s="78"/>
      <c r="X22" s="78"/>
      <c r="Y22" s="78"/>
      <c r="Z22" s="78"/>
      <c r="AA22" s="78"/>
      <c r="AB22" s="78"/>
      <c r="AC22" s="79"/>
    </row>
    <row r="23" spans="1:29" ht="14.25" customHeight="1" x14ac:dyDescent="0.3">
      <c r="A23" s="79"/>
      <c r="B23" s="79"/>
      <c r="C23" s="108" t="s">
        <v>125</v>
      </c>
      <c r="D23" s="86">
        <v>8.7799999999999994</v>
      </c>
      <c r="E23" s="125" t="s">
        <v>55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8" t="s">
        <v>125</v>
      </c>
      <c r="U23" s="96">
        <f t="shared" ref="U23:U28" si="4">D23</f>
        <v>8.7799999999999994</v>
      </c>
      <c r="V23" s="125" t="s">
        <v>55</v>
      </c>
      <c r="W23" s="78"/>
      <c r="X23" s="78"/>
      <c r="Y23" s="78"/>
      <c r="Z23" s="78"/>
      <c r="AA23" s="78"/>
      <c r="AB23" s="78"/>
      <c r="AC23" s="79"/>
    </row>
    <row r="24" spans="1:29" ht="14.25" customHeight="1" x14ac:dyDescent="0.3">
      <c r="A24" s="79"/>
      <c r="B24" s="79"/>
      <c r="C24" s="108" t="s">
        <v>126</v>
      </c>
      <c r="D24" s="86">
        <v>97.720000000000013</v>
      </c>
      <c r="E24" s="125" t="s">
        <v>55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08" t="s">
        <v>126</v>
      </c>
      <c r="U24" s="86">
        <f t="shared" si="4"/>
        <v>97.720000000000013</v>
      </c>
      <c r="V24" s="125" t="s">
        <v>55</v>
      </c>
      <c r="W24" s="78"/>
      <c r="X24" s="78"/>
      <c r="Y24" s="78"/>
      <c r="Z24" s="78"/>
      <c r="AA24" s="78"/>
      <c r="AB24" s="78"/>
      <c r="AC24" s="79"/>
    </row>
    <row r="25" spans="1:29" ht="14.25" customHeight="1" x14ac:dyDescent="0.3">
      <c r="A25" s="79"/>
      <c r="B25" s="79"/>
      <c r="C25" s="80" t="s">
        <v>127</v>
      </c>
      <c r="D25" s="86">
        <v>17.400000000000009</v>
      </c>
      <c r="E25" s="125" t="s">
        <v>55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80" t="s">
        <v>127</v>
      </c>
      <c r="U25" s="86">
        <f t="shared" si="4"/>
        <v>17.400000000000009</v>
      </c>
      <c r="V25" s="125" t="s">
        <v>55</v>
      </c>
      <c r="W25" s="78"/>
      <c r="X25" s="78"/>
      <c r="Y25" s="78"/>
      <c r="Z25" s="78"/>
      <c r="AA25" s="78"/>
      <c r="AB25" s="78"/>
      <c r="AC25" s="79"/>
    </row>
    <row r="26" spans="1:29" ht="14.25" customHeight="1" x14ac:dyDescent="0.3">
      <c r="A26" s="79"/>
      <c r="B26" s="79"/>
      <c r="C26" s="108" t="s">
        <v>128</v>
      </c>
      <c r="D26" s="86">
        <v>18.559999999999995</v>
      </c>
      <c r="E26" s="125" t="s">
        <v>55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08" t="s">
        <v>128</v>
      </c>
      <c r="U26" s="86">
        <f t="shared" si="4"/>
        <v>18.559999999999995</v>
      </c>
      <c r="V26" s="125" t="s">
        <v>55</v>
      </c>
      <c r="W26" s="78"/>
      <c r="X26" s="78"/>
      <c r="Y26" s="78"/>
      <c r="Z26" s="78"/>
      <c r="AA26" s="78"/>
      <c r="AB26" s="78"/>
      <c r="AC26" s="79"/>
    </row>
    <row r="27" spans="1:29" ht="14.25" customHeight="1" x14ac:dyDescent="0.3">
      <c r="A27" s="79"/>
      <c r="B27" s="79"/>
      <c r="C27" s="108" t="s">
        <v>129</v>
      </c>
      <c r="D27" s="86">
        <v>48.59988000000002</v>
      </c>
      <c r="E27" s="125" t="s">
        <v>55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8" t="s">
        <v>129</v>
      </c>
      <c r="U27" s="86">
        <f t="shared" si="4"/>
        <v>48.59988000000002</v>
      </c>
      <c r="V27" s="125" t="s">
        <v>55</v>
      </c>
      <c r="W27" s="78"/>
      <c r="X27" s="78"/>
      <c r="Y27" s="78"/>
      <c r="Z27" s="78"/>
      <c r="AA27" s="78"/>
      <c r="AB27" s="78"/>
      <c r="AC27" s="79"/>
    </row>
    <row r="28" spans="1:29" ht="14.25" customHeight="1" x14ac:dyDescent="0.3">
      <c r="A28" s="79"/>
      <c r="B28" s="79"/>
      <c r="C28" s="80" t="s">
        <v>130</v>
      </c>
      <c r="D28" s="86">
        <v>5.32</v>
      </c>
      <c r="E28" s="125" t="s">
        <v>55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80" t="s">
        <v>130</v>
      </c>
      <c r="U28" s="86">
        <f t="shared" si="4"/>
        <v>5.32</v>
      </c>
      <c r="V28" s="125" t="s">
        <v>55</v>
      </c>
      <c r="W28" s="78"/>
      <c r="X28" s="78"/>
      <c r="Y28" s="78"/>
      <c r="Z28" s="78"/>
      <c r="AA28" s="78"/>
      <c r="AB28" s="78"/>
      <c r="AC28" s="79"/>
    </row>
    <row r="29" spans="1:29" ht="14.25" customHeight="1" x14ac:dyDescent="0.3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</row>
    <row r="30" spans="1:29" ht="14.25" customHeight="1" x14ac:dyDescent="0.3">
      <c r="A30" s="109"/>
      <c r="B30" s="31" t="s">
        <v>65</v>
      </c>
      <c r="C30" s="32">
        <v>3687229</v>
      </c>
      <c r="D30" s="32" t="s">
        <v>55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</row>
    <row r="31" spans="1:29" ht="14.25" customHeight="1" x14ac:dyDescent="0.3">
      <c r="A31" s="109"/>
      <c r="B31" s="109"/>
      <c r="C31" s="109"/>
      <c r="D31" s="109"/>
      <c r="E31" s="109"/>
      <c r="F31" s="109"/>
      <c r="G31" s="109"/>
      <c r="H31" s="109"/>
      <c r="I31" s="109"/>
      <c r="J31" s="370" t="s">
        <v>66</v>
      </c>
      <c r="K31" s="371"/>
      <c r="L31" s="371"/>
      <c r="M31" s="371"/>
      <c r="N31" s="371"/>
      <c r="O31" s="372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</row>
    <row r="32" spans="1:29" ht="14.25" customHeight="1" x14ac:dyDescent="0.3">
      <c r="A32" s="109"/>
      <c r="B32" s="109"/>
      <c r="C32" s="109"/>
      <c r="D32" s="109"/>
      <c r="E32" s="109"/>
      <c r="F32" s="109"/>
      <c r="G32" s="109"/>
      <c r="H32" s="109"/>
      <c r="I32" s="109"/>
      <c r="J32" s="34" t="s">
        <v>67</v>
      </c>
      <c r="K32" s="35" t="s">
        <v>68</v>
      </c>
      <c r="L32" s="35" t="s">
        <v>8</v>
      </c>
      <c r="M32" s="370" t="s">
        <v>69</v>
      </c>
      <c r="N32" s="371"/>
      <c r="O32" s="372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</row>
    <row r="33" spans="1:29" ht="14.25" customHeight="1" x14ac:dyDescent="0.3">
      <c r="A33" s="109"/>
      <c r="B33" s="109"/>
      <c r="C33" s="109"/>
      <c r="D33" s="109"/>
      <c r="E33" s="109"/>
      <c r="F33" s="109"/>
      <c r="G33" s="109"/>
      <c r="H33" s="109"/>
      <c r="I33" s="109"/>
      <c r="J33" s="36" t="s">
        <v>70</v>
      </c>
      <c r="K33" s="37">
        <v>0.12468</v>
      </c>
      <c r="L33" s="36" t="s">
        <v>71</v>
      </c>
      <c r="M33" s="363" t="s">
        <v>72</v>
      </c>
      <c r="N33" s="364"/>
      <c r="O33" s="365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</row>
    <row r="34" spans="1:29" ht="14.25" customHeight="1" x14ac:dyDescent="0.3">
      <c r="A34" s="109"/>
      <c r="B34" s="109"/>
      <c r="C34" s="109"/>
      <c r="D34" s="109"/>
      <c r="E34" s="109"/>
      <c r="F34" s="109"/>
      <c r="G34" s="109"/>
      <c r="H34" s="109"/>
      <c r="I34" s="109"/>
      <c r="J34" s="36" t="s">
        <v>73</v>
      </c>
      <c r="K34" s="37">
        <v>1.8959600000000001</v>
      </c>
      <c r="L34" s="36" t="s">
        <v>74</v>
      </c>
      <c r="M34" s="366"/>
      <c r="N34" s="367"/>
      <c r="O34" s="368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</row>
    <row r="35" spans="1:29" ht="14.25" customHeight="1" x14ac:dyDescent="0.3">
      <c r="A35" s="109"/>
      <c r="B35" s="109"/>
      <c r="C35" s="109"/>
      <c r="D35" s="109"/>
      <c r="E35" s="109"/>
      <c r="F35" s="109"/>
      <c r="G35" s="109"/>
      <c r="H35" s="109"/>
      <c r="I35" s="109"/>
      <c r="J35" s="38" t="s">
        <v>75</v>
      </c>
      <c r="K35" s="39">
        <v>0.13328000000000001</v>
      </c>
      <c r="L35" s="38" t="s">
        <v>76</v>
      </c>
      <c r="M35" s="369"/>
      <c r="N35" s="360"/>
      <c r="O35" s="361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</row>
    <row r="36" spans="1:29" ht="14.25" customHeight="1" x14ac:dyDescent="0.3">
      <c r="A36" s="109"/>
      <c r="B36" s="109"/>
      <c r="C36" s="109"/>
      <c r="D36" s="109"/>
      <c r="E36" s="109"/>
      <c r="F36" s="109"/>
      <c r="G36" s="109"/>
      <c r="H36" s="109"/>
      <c r="I36" s="109"/>
      <c r="J36" s="36" t="s">
        <v>31</v>
      </c>
      <c r="K36" s="37">
        <v>74.099999999999994</v>
      </c>
      <c r="L36" s="36" t="s">
        <v>77</v>
      </c>
      <c r="M36" s="363" t="s">
        <v>78</v>
      </c>
      <c r="N36" s="364"/>
      <c r="O36" s="365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</row>
    <row r="37" spans="1:29" ht="14.25" customHeight="1" x14ac:dyDescent="0.3">
      <c r="A37" s="109"/>
      <c r="B37" s="109"/>
      <c r="C37" s="109"/>
      <c r="D37" s="109"/>
      <c r="E37" s="109"/>
      <c r="F37" s="109"/>
      <c r="G37" s="109"/>
      <c r="H37" s="109"/>
      <c r="I37" s="109"/>
      <c r="J37" s="38" t="s">
        <v>79</v>
      </c>
      <c r="K37" s="39">
        <v>3.0000000000000001E-3</v>
      </c>
      <c r="L37" s="38" t="s">
        <v>80</v>
      </c>
      <c r="M37" s="366"/>
      <c r="N37" s="367"/>
      <c r="O37" s="368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</row>
    <row r="38" spans="1:29" ht="14.25" customHeight="1" x14ac:dyDescent="0.3">
      <c r="A38" s="109"/>
      <c r="B38" s="109"/>
      <c r="C38" s="109"/>
      <c r="D38" s="109"/>
      <c r="E38" s="109"/>
      <c r="F38" s="109"/>
      <c r="G38" s="109"/>
      <c r="H38" s="109"/>
      <c r="I38" s="109"/>
      <c r="J38" s="38" t="s">
        <v>81</v>
      </c>
      <c r="K38" s="39">
        <v>5.9999999999999995E-4</v>
      </c>
      <c r="L38" s="38" t="s">
        <v>82</v>
      </c>
      <c r="M38" s="369"/>
      <c r="N38" s="360"/>
      <c r="O38" s="361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</row>
    <row r="39" spans="1:29" ht="14.25" customHeight="1" x14ac:dyDescent="0.35">
      <c r="A39" s="109"/>
      <c r="B39" s="109"/>
      <c r="C39" s="109"/>
      <c r="D39" s="109"/>
      <c r="E39" s="109"/>
      <c r="F39" s="109"/>
      <c r="G39" s="109"/>
      <c r="H39" s="109"/>
      <c r="I39" s="109"/>
      <c r="J39" s="34" t="s">
        <v>83</v>
      </c>
      <c r="K39" s="35" t="s">
        <v>8</v>
      </c>
      <c r="L39" s="40"/>
      <c r="M39" s="359"/>
      <c r="N39" s="360"/>
      <c r="O39" s="361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29" ht="14.25" customHeight="1" x14ac:dyDescent="0.35">
      <c r="A40" s="109"/>
      <c r="B40" s="109"/>
      <c r="C40" s="109"/>
      <c r="D40" s="109"/>
      <c r="E40" s="109"/>
      <c r="F40" s="109"/>
      <c r="G40" s="109"/>
      <c r="H40" s="109"/>
      <c r="I40" s="109"/>
      <c r="J40" s="41">
        <f>36*10^-6</f>
        <v>3.6000000000000001E-5</v>
      </c>
      <c r="K40" s="37" t="s">
        <v>84</v>
      </c>
      <c r="L40" s="40"/>
      <c r="M40" s="359"/>
      <c r="N40" s="360"/>
      <c r="O40" s="361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</row>
    <row r="41" spans="1:29" ht="14.25" customHeight="1" x14ac:dyDescent="0.3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</row>
    <row r="42" spans="1:29" ht="14.25" customHeight="1" x14ac:dyDescent="0.3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</row>
    <row r="43" spans="1:29" ht="14.25" customHeight="1" x14ac:dyDescent="0.3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</row>
    <row r="44" spans="1:29" ht="14.25" customHeight="1" x14ac:dyDescent="0.3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</row>
    <row r="45" spans="1:29" ht="14.25" customHeight="1" x14ac:dyDescent="0.3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</row>
    <row r="46" spans="1:29" ht="14.25" customHeight="1" x14ac:dyDescent="0.3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</row>
    <row r="47" spans="1:29" ht="14.25" customHeight="1" x14ac:dyDescent="0.3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</row>
    <row r="48" spans="1:29" ht="14.25" customHeight="1" x14ac:dyDescent="0.3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</row>
    <row r="49" spans="1:29" ht="14.25" customHeight="1" x14ac:dyDescent="0.3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</row>
    <row r="50" spans="1:29" ht="14.25" customHeight="1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</row>
    <row r="51" spans="1:29" ht="14.25" customHeight="1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</row>
    <row r="52" spans="1:29" ht="14.25" customHeight="1" x14ac:dyDescent="0.3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</row>
    <row r="53" spans="1:29" ht="14.25" customHeight="1" x14ac:dyDescent="0.3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</row>
    <row r="54" spans="1:29" ht="14.25" customHeight="1" x14ac:dyDescent="0.3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</row>
    <row r="55" spans="1:29" ht="14.25" customHeight="1" x14ac:dyDescent="0.3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</row>
    <row r="56" spans="1:29" ht="14.25" customHeight="1" x14ac:dyDescent="0.3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</row>
    <row r="57" spans="1:29" ht="14.25" customHeight="1" x14ac:dyDescent="0.3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</row>
    <row r="58" spans="1:29" ht="14.25" customHeight="1" x14ac:dyDescent="0.3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</row>
    <row r="59" spans="1:29" ht="14.25" customHeight="1" x14ac:dyDescent="0.3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</row>
    <row r="60" spans="1:29" ht="14.25" customHeight="1" x14ac:dyDescent="0.3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</row>
    <row r="61" spans="1:29" ht="14.25" customHeight="1" x14ac:dyDescent="0.3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</row>
    <row r="62" spans="1:29" ht="14.25" customHeight="1" x14ac:dyDescent="0.3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</row>
    <row r="63" spans="1:29" ht="14.25" customHeight="1" x14ac:dyDescent="0.3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</row>
    <row r="64" spans="1:29" ht="14.25" customHeight="1" x14ac:dyDescent="0.3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</row>
    <row r="65" spans="1:29" ht="14.25" customHeight="1" x14ac:dyDescent="0.3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</row>
    <row r="66" spans="1:29" ht="14.25" customHeight="1" x14ac:dyDescent="0.3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</row>
    <row r="67" spans="1:29" ht="14.25" customHeight="1" x14ac:dyDescent="0.3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</row>
    <row r="68" spans="1:29" ht="14.25" customHeight="1" x14ac:dyDescent="0.3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</row>
    <row r="69" spans="1:29" ht="14.25" customHeight="1" x14ac:dyDescent="0.3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</row>
    <row r="70" spans="1:29" ht="14.25" customHeight="1" x14ac:dyDescent="0.3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</row>
    <row r="71" spans="1:29" ht="14.25" customHeight="1" x14ac:dyDescent="0.3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</row>
    <row r="72" spans="1:29" ht="14.25" customHeight="1" x14ac:dyDescent="0.3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</row>
    <row r="73" spans="1:29" ht="14.25" customHeight="1" x14ac:dyDescent="0.3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</row>
    <row r="74" spans="1:29" ht="14.25" customHeight="1" x14ac:dyDescent="0.3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</row>
    <row r="75" spans="1:29" ht="14.25" customHeight="1" x14ac:dyDescent="0.3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</row>
    <row r="76" spans="1:29" ht="14.25" customHeight="1" x14ac:dyDescent="0.3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</row>
    <row r="77" spans="1:29" ht="14.25" customHeight="1" x14ac:dyDescent="0.3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</row>
    <row r="78" spans="1:29" ht="14.25" customHeight="1" x14ac:dyDescent="0.3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</row>
    <row r="79" spans="1:29" ht="14.25" customHeight="1" x14ac:dyDescent="0.3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</row>
    <row r="80" spans="1:29" ht="14.25" customHeight="1" x14ac:dyDescent="0.3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</row>
    <row r="81" spans="1:29" ht="14.25" customHeight="1" x14ac:dyDescent="0.3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</row>
    <row r="82" spans="1:29" ht="14.25" customHeight="1" x14ac:dyDescent="0.3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</row>
    <row r="83" spans="1:29" ht="14.25" customHeight="1" x14ac:dyDescent="0.3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</row>
    <row r="84" spans="1:29" ht="14.25" customHeight="1" x14ac:dyDescent="0.3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</row>
    <row r="85" spans="1:29" ht="14.25" customHeight="1" x14ac:dyDescent="0.3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</row>
    <row r="86" spans="1:29" ht="14.25" customHeight="1" x14ac:dyDescent="0.3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</row>
    <row r="87" spans="1:29" ht="14.25" customHeight="1" x14ac:dyDescent="0.3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</row>
    <row r="88" spans="1:29" ht="14.25" customHeight="1" x14ac:dyDescent="0.3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</row>
    <row r="89" spans="1:29" ht="14.25" customHeight="1" x14ac:dyDescent="0.3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</row>
    <row r="90" spans="1:29" ht="14.25" customHeight="1" x14ac:dyDescent="0.3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</row>
    <row r="91" spans="1:29" ht="14.25" customHeight="1" x14ac:dyDescent="0.3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</row>
    <row r="92" spans="1:29" ht="14.25" customHeight="1" x14ac:dyDescent="0.3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</row>
    <row r="93" spans="1:29" ht="14.25" customHeight="1" x14ac:dyDescent="0.3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</row>
    <row r="94" spans="1:29" ht="14.25" customHeight="1" x14ac:dyDescent="0.3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</row>
    <row r="95" spans="1:29" ht="14.25" customHeight="1" x14ac:dyDescent="0.3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</row>
    <row r="96" spans="1:29" ht="14.25" customHeight="1" x14ac:dyDescent="0.3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</row>
    <row r="97" spans="1:29" ht="14.25" customHeight="1" x14ac:dyDescent="0.3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</row>
    <row r="98" spans="1:29" ht="14.25" customHeight="1" x14ac:dyDescent="0.3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</row>
    <row r="99" spans="1:29" ht="14.25" customHeight="1" x14ac:dyDescent="0.3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</row>
    <row r="100" spans="1:29" ht="14.25" customHeight="1" x14ac:dyDescent="0.3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</row>
    <row r="101" spans="1:29" ht="14.25" customHeight="1" x14ac:dyDescent="0.3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</row>
    <row r="102" spans="1:29" ht="14.25" customHeight="1" x14ac:dyDescent="0.3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</row>
    <row r="103" spans="1:29" ht="14.25" customHeight="1" x14ac:dyDescent="0.3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1:29" ht="14.25" customHeight="1" x14ac:dyDescent="0.3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</row>
    <row r="105" spans="1:29" ht="14.25" customHeight="1" x14ac:dyDescent="0.3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</row>
    <row r="106" spans="1:29" ht="14.25" customHeight="1" x14ac:dyDescent="0.3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</row>
    <row r="107" spans="1:29" ht="14.25" customHeight="1" x14ac:dyDescent="0.3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</row>
    <row r="108" spans="1:29" ht="14.25" customHeight="1" x14ac:dyDescent="0.3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</row>
    <row r="109" spans="1:29" ht="14.25" customHeight="1" x14ac:dyDescent="0.3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</row>
    <row r="110" spans="1:29" ht="14.25" customHeight="1" x14ac:dyDescent="0.3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</row>
    <row r="111" spans="1:29" ht="14.25" customHeight="1" x14ac:dyDescent="0.3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</row>
    <row r="112" spans="1:29" ht="14.25" customHeight="1" x14ac:dyDescent="0.3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</row>
    <row r="113" spans="1:29" ht="14.25" customHeight="1" x14ac:dyDescent="0.3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</row>
    <row r="114" spans="1:29" ht="14.25" customHeight="1" x14ac:dyDescent="0.3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</row>
    <row r="115" spans="1:29" ht="14.25" customHeight="1" x14ac:dyDescent="0.3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</row>
    <row r="116" spans="1:29" ht="14.25" customHeight="1" x14ac:dyDescent="0.3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</row>
    <row r="117" spans="1:29" ht="14.25" customHeight="1" x14ac:dyDescent="0.3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</row>
    <row r="118" spans="1:29" ht="14.25" customHeight="1" x14ac:dyDescent="0.3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</row>
    <row r="119" spans="1:29" ht="14.25" customHeight="1" x14ac:dyDescent="0.3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</row>
    <row r="120" spans="1:29" ht="14.25" customHeight="1" x14ac:dyDescent="0.3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</row>
    <row r="121" spans="1:29" ht="14.25" customHeight="1" x14ac:dyDescent="0.3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</row>
    <row r="122" spans="1:29" ht="14.25" customHeight="1" x14ac:dyDescent="0.3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</row>
    <row r="123" spans="1:29" ht="14.25" customHeight="1" x14ac:dyDescent="0.3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</row>
    <row r="124" spans="1:29" ht="14.25" customHeight="1" x14ac:dyDescent="0.3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</row>
    <row r="125" spans="1:29" ht="14.25" customHeight="1" x14ac:dyDescent="0.3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</row>
    <row r="126" spans="1:29" ht="14.25" customHeight="1" x14ac:dyDescent="0.3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</row>
    <row r="127" spans="1:29" ht="14.25" customHeight="1" x14ac:dyDescent="0.3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</row>
    <row r="128" spans="1:29" ht="14.25" customHeight="1" x14ac:dyDescent="0.3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</row>
    <row r="129" spans="1:29" ht="14.25" customHeight="1" x14ac:dyDescent="0.3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</row>
    <row r="130" spans="1:29" ht="14.25" customHeight="1" x14ac:dyDescent="0.3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</row>
    <row r="131" spans="1:29" ht="14.25" customHeight="1" x14ac:dyDescent="0.3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</row>
    <row r="132" spans="1:29" ht="14.25" customHeight="1" x14ac:dyDescent="0.3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</row>
    <row r="133" spans="1:29" ht="14.25" customHeight="1" x14ac:dyDescent="0.3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</row>
    <row r="134" spans="1:29" ht="14.25" customHeight="1" x14ac:dyDescent="0.3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</row>
    <row r="135" spans="1:29" ht="14.25" customHeight="1" x14ac:dyDescent="0.3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</row>
    <row r="136" spans="1:29" ht="14.25" customHeight="1" x14ac:dyDescent="0.3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</row>
    <row r="137" spans="1:29" ht="14.25" customHeight="1" x14ac:dyDescent="0.3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</row>
    <row r="138" spans="1:29" ht="14.25" customHeight="1" x14ac:dyDescent="0.3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</row>
    <row r="139" spans="1:29" ht="14.25" customHeight="1" x14ac:dyDescent="0.3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</row>
    <row r="140" spans="1:29" ht="14.25" customHeight="1" x14ac:dyDescent="0.3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</row>
    <row r="141" spans="1:29" ht="14.25" customHeight="1" x14ac:dyDescent="0.3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</row>
    <row r="142" spans="1:29" ht="14.25" customHeight="1" x14ac:dyDescent="0.3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</row>
    <row r="143" spans="1:29" ht="14.25" customHeight="1" x14ac:dyDescent="0.3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</row>
    <row r="144" spans="1:29" ht="14.25" customHeight="1" x14ac:dyDescent="0.3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</row>
    <row r="145" spans="1:29" ht="14.25" customHeight="1" x14ac:dyDescent="0.3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</row>
    <row r="146" spans="1:29" ht="14.25" customHeight="1" x14ac:dyDescent="0.3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</row>
    <row r="147" spans="1:29" ht="14.25" customHeight="1" x14ac:dyDescent="0.3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</row>
    <row r="148" spans="1:29" ht="14.25" customHeight="1" x14ac:dyDescent="0.3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</row>
    <row r="149" spans="1:29" ht="14.25" customHeight="1" x14ac:dyDescent="0.3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</row>
    <row r="150" spans="1:29" ht="14.25" customHeight="1" x14ac:dyDescent="0.3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</row>
    <row r="151" spans="1:29" ht="14.25" customHeight="1" x14ac:dyDescent="0.3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</row>
    <row r="152" spans="1:29" ht="14.25" customHeight="1" x14ac:dyDescent="0.3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</row>
    <row r="153" spans="1:29" ht="14.25" customHeight="1" x14ac:dyDescent="0.3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</row>
    <row r="154" spans="1:29" ht="14.25" customHeight="1" x14ac:dyDescent="0.3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</row>
    <row r="155" spans="1:29" ht="14.25" customHeight="1" x14ac:dyDescent="0.3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</row>
    <row r="156" spans="1:29" ht="14.25" customHeight="1" x14ac:dyDescent="0.3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</row>
    <row r="157" spans="1:29" ht="14.25" customHeight="1" x14ac:dyDescent="0.3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</row>
    <row r="158" spans="1:29" ht="14.25" customHeight="1" x14ac:dyDescent="0.3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</row>
    <row r="159" spans="1:29" ht="14.25" customHeight="1" x14ac:dyDescent="0.3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</row>
    <row r="160" spans="1:29" ht="14.25" customHeight="1" x14ac:dyDescent="0.3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</row>
    <row r="161" spans="1:29" ht="14.25" customHeight="1" x14ac:dyDescent="0.3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</row>
    <row r="162" spans="1:29" ht="14.25" customHeight="1" x14ac:dyDescent="0.3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</row>
    <row r="163" spans="1:29" ht="14.25" customHeight="1" x14ac:dyDescent="0.3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</row>
    <row r="164" spans="1:29" ht="14.25" customHeight="1" x14ac:dyDescent="0.3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</row>
    <row r="165" spans="1:29" ht="14.25" customHeight="1" x14ac:dyDescent="0.3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</row>
    <row r="166" spans="1:29" ht="14.25" customHeight="1" x14ac:dyDescent="0.3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</row>
    <row r="167" spans="1:29" ht="14.25" customHeight="1" x14ac:dyDescent="0.3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</row>
    <row r="168" spans="1:29" ht="14.25" customHeight="1" x14ac:dyDescent="0.3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</row>
    <row r="169" spans="1:29" ht="14.25" customHeight="1" x14ac:dyDescent="0.3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</row>
    <row r="170" spans="1:29" ht="14.25" customHeight="1" x14ac:dyDescent="0.3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</row>
    <row r="171" spans="1:29" ht="14.25" customHeight="1" x14ac:dyDescent="0.3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</row>
    <row r="172" spans="1:29" ht="14.25" customHeight="1" x14ac:dyDescent="0.3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</row>
    <row r="173" spans="1:29" ht="14.25" customHeight="1" x14ac:dyDescent="0.3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</row>
    <row r="174" spans="1:29" ht="14.25" customHeight="1" x14ac:dyDescent="0.3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</row>
    <row r="175" spans="1:29" ht="14.25" customHeight="1" x14ac:dyDescent="0.3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</row>
    <row r="176" spans="1:29" ht="14.25" customHeight="1" x14ac:dyDescent="0.3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</row>
    <row r="177" spans="1:29" ht="14.25" customHeight="1" x14ac:dyDescent="0.3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</row>
    <row r="178" spans="1:29" ht="14.25" customHeight="1" x14ac:dyDescent="0.3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</row>
    <row r="179" spans="1:29" ht="14.25" customHeight="1" x14ac:dyDescent="0.3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</row>
    <row r="180" spans="1:29" ht="14.25" customHeight="1" x14ac:dyDescent="0.3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</row>
    <row r="181" spans="1:29" ht="14.25" customHeight="1" x14ac:dyDescent="0.3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</row>
    <row r="182" spans="1:29" ht="14.25" customHeight="1" x14ac:dyDescent="0.3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</row>
    <row r="183" spans="1:29" ht="14.25" customHeight="1" x14ac:dyDescent="0.3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</row>
    <row r="184" spans="1:29" ht="14.25" customHeight="1" x14ac:dyDescent="0.3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</row>
    <row r="185" spans="1:29" ht="14.25" customHeight="1" x14ac:dyDescent="0.3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</row>
    <row r="186" spans="1:29" ht="14.25" customHeight="1" x14ac:dyDescent="0.3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</row>
    <row r="187" spans="1:29" ht="14.25" customHeight="1" x14ac:dyDescent="0.3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</row>
    <row r="188" spans="1:29" ht="14.25" customHeight="1" x14ac:dyDescent="0.3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</row>
    <row r="189" spans="1:29" ht="14.25" customHeight="1" x14ac:dyDescent="0.3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</row>
    <row r="190" spans="1:29" ht="14.25" customHeight="1" x14ac:dyDescent="0.3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</row>
    <row r="191" spans="1:29" ht="14.25" customHeight="1" x14ac:dyDescent="0.3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</row>
    <row r="192" spans="1:29" ht="14.25" customHeight="1" x14ac:dyDescent="0.3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</row>
    <row r="193" spans="1:29" ht="14.25" customHeight="1" x14ac:dyDescent="0.3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</row>
    <row r="194" spans="1:29" ht="14.25" customHeight="1" x14ac:dyDescent="0.3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</row>
    <row r="195" spans="1:29" ht="14.25" customHeight="1" x14ac:dyDescent="0.3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</row>
    <row r="196" spans="1:29" ht="14.25" customHeight="1" x14ac:dyDescent="0.3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</row>
    <row r="197" spans="1:29" ht="14.25" customHeight="1" x14ac:dyDescent="0.3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</row>
    <row r="198" spans="1:29" ht="14.25" customHeight="1" x14ac:dyDescent="0.3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</row>
    <row r="199" spans="1:29" ht="14.25" customHeight="1" x14ac:dyDescent="0.3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</row>
    <row r="200" spans="1:29" ht="14.25" customHeight="1" x14ac:dyDescent="0.3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</row>
    <row r="201" spans="1:29" ht="14.25" customHeight="1" x14ac:dyDescent="0.3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</row>
    <row r="202" spans="1:29" ht="14.25" customHeight="1" x14ac:dyDescent="0.3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</row>
    <row r="203" spans="1:29" ht="14.25" customHeight="1" x14ac:dyDescent="0.3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</row>
    <row r="204" spans="1:29" ht="14.25" customHeight="1" x14ac:dyDescent="0.3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</row>
    <row r="205" spans="1:29" ht="14.25" customHeight="1" x14ac:dyDescent="0.3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</row>
    <row r="206" spans="1:29" ht="14.25" customHeight="1" x14ac:dyDescent="0.3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</row>
    <row r="207" spans="1:29" ht="14.25" customHeight="1" x14ac:dyDescent="0.3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</row>
    <row r="208" spans="1:29" ht="14.25" customHeight="1" x14ac:dyDescent="0.3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</row>
    <row r="209" spans="1:29" ht="14.25" customHeight="1" x14ac:dyDescent="0.3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</row>
    <row r="210" spans="1:29" ht="14.25" customHeight="1" x14ac:dyDescent="0.3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</row>
    <row r="211" spans="1:29" ht="14.25" customHeight="1" x14ac:dyDescent="0.3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</row>
    <row r="212" spans="1:29" ht="14.25" customHeight="1" x14ac:dyDescent="0.3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</row>
    <row r="213" spans="1:29" ht="14.25" customHeight="1" x14ac:dyDescent="0.3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</row>
    <row r="214" spans="1:29" ht="14.25" customHeight="1" x14ac:dyDescent="0.3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</row>
    <row r="215" spans="1:29" ht="14.25" customHeight="1" x14ac:dyDescent="0.3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</row>
    <row r="216" spans="1:29" ht="14.25" customHeight="1" x14ac:dyDescent="0.3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</row>
    <row r="217" spans="1:29" ht="14.25" customHeight="1" x14ac:dyDescent="0.3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</row>
    <row r="218" spans="1:29" ht="14.25" customHeight="1" x14ac:dyDescent="0.3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</row>
    <row r="219" spans="1:29" ht="14.25" customHeight="1" x14ac:dyDescent="0.3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</row>
    <row r="220" spans="1:29" ht="14.25" customHeight="1" x14ac:dyDescent="0.3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</row>
    <row r="221" spans="1:29" ht="14.25" customHeight="1" x14ac:dyDescent="0.3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</row>
    <row r="222" spans="1:29" ht="14.25" customHeight="1" x14ac:dyDescent="0.3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</row>
    <row r="223" spans="1:29" ht="14.25" customHeight="1" x14ac:dyDescent="0.3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</row>
    <row r="224" spans="1:29" ht="14.25" customHeight="1" x14ac:dyDescent="0.3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</row>
    <row r="225" spans="1:29" ht="14.25" customHeight="1" x14ac:dyDescent="0.3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</row>
    <row r="226" spans="1:29" ht="14.25" customHeight="1" x14ac:dyDescent="0.3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</row>
    <row r="227" spans="1:29" ht="14.25" customHeight="1" x14ac:dyDescent="0.3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</row>
    <row r="228" spans="1:29" ht="14.25" customHeight="1" x14ac:dyDescent="0.3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</row>
    <row r="229" spans="1:29" ht="14.25" customHeight="1" x14ac:dyDescent="0.3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</row>
    <row r="230" spans="1:29" ht="14.25" customHeight="1" x14ac:dyDescent="0.3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</row>
    <row r="231" spans="1:29" ht="14.25" customHeight="1" x14ac:dyDescent="0.3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</row>
    <row r="232" spans="1:29" ht="14.25" customHeight="1" x14ac:dyDescent="0.3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</row>
    <row r="233" spans="1:29" ht="14.25" customHeight="1" x14ac:dyDescent="0.3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</row>
    <row r="234" spans="1:29" ht="14.25" customHeight="1" x14ac:dyDescent="0.3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</row>
    <row r="235" spans="1:29" ht="14.25" customHeight="1" x14ac:dyDescent="0.3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</row>
    <row r="236" spans="1:29" ht="14.25" customHeight="1" x14ac:dyDescent="0.3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</row>
    <row r="237" spans="1:29" ht="14.25" customHeight="1" x14ac:dyDescent="0.3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</row>
    <row r="238" spans="1:29" ht="14.25" customHeight="1" x14ac:dyDescent="0.3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</row>
    <row r="239" spans="1:29" ht="14.25" customHeight="1" x14ac:dyDescent="0.3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</row>
    <row r="240" spans="1:29" ht="14.25" customHeight="1" x14ac:dyDescent="0.3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</row>
    <row r="241" spans="1:29" ht="14.25" customHeight="1" x14ac:dyDescent="0.3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</row>
    <row r="242" spans="1:29" ht="14.25" customHeight="1" x14ac:dyDescent="0.3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</row>
    <row r="243" spans="1:29" ht="14.25" customHeight="1" x14ac:dyDescent="0.3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</row>
    <row r="244" spans="1:29" ht="14.25" customHeight="1" x14ac:dyDescent="0.3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</row>
    <row r="245" spans="1:29" ht="14.25" customHeight="1" x14ac:dyDescent="0.3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</row>
    <row r="246" spans="1:29" ht="14.25" customHeight="1" x14ac:dyDescent="0.3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</row>
    <row r="247" spans="1:29" ht="14.25" customHeight="1" x14ac:dyDescent="0.3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</row>
    <row r="248" spans="1:29" ht="14.25" customHeight="1" x14ac:dyDescent="0.3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</row>
    <row r="249" spans="1:29" ht="14.25" customHeight="1" x14ac:dyDescent="0.3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</row>
    <row r="250" spans="1:29" ht="14.25" customHeight="1" x14ac:dyDescent="0.3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</row>
    <row r="251" spans="1:29" ht="14.25" customHeight="1" x14ac:dyDescent="0.3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</row>
    <row r="252" spans="1:29" ht="14.25" customHeight="1" x14ac:dyDescent="0.3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</row>
    <row r="253" spans="1:29" ht="14.25" customHeight="1" x14ac:dyDescent="0.3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</row>
    <row r="254" spans="1:29" ht="14.25" customHeight="1" x14ac:dyDescent="0.3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</row>
    <row r="255" spans="1:29" ht="14.25" customHeight="1" x14ac:dyDescent="0.3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</row>
    <row r="256" spans="1:29" ht="14.25" customHeight="1" x14ac:dyDescent="0.3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</row>
    <row r="257" spans="1:29" ht="14.25" customHeight="1" x14ac:dyDescent="0.3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</row>
    <row r="258" spans="1:29" ht="14.25" customHeight="1" x14ac:dyDescent="0.3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</row>
    <row r="259" spans="1:29" ht="14.25" customHeight="1" x14ac:dyDescent="0.3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</row>
    <row r="260" spans="1:29" ht="14.25" customHeight="1" x14ac:dyDescent="0.3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</row>
    <row r="261" spans="1:29" ht="14.25" customHeight="1" x14ac:dyDescent="0.3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</row>
    <row r="262" spans="1:29" ht="14.25" customHeight="1" x14ac:dyDescent="0.3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</row>
    <row r="263" spans="1:29" ht="14.25" customHeight="1" x14ac:dyDescent="0.3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</row>
    <row r="264" spans="1:29" ht="14.25" customHeight="1" x14ac:dyDescent="0.3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</row>
    <row r="265" spans="1:29" ht="14.25" customHeight="1" x14ac:dyDescent="0.3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</row>
    <row r="266" spans="1:29" ht="14.25" customHeight="1" x14ac:dyDescent="0.3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</row>
    <row r="267" spans="1:29" ht="14.25" customHeight="1" x14ac:dyDescent="0.3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</row>
    <row r="268" spans="1:29" ht="14.25" customHeight="1" x14ac:dyDescent="0.3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</row>
    <row r="269" spans="1:29" ht="14.25" customHeight="1" x14ac:dyDescent="0.3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</row>
    <row r="270" spans="1:29" ht="14.25" customHeight="1" x14ac:dyDescent="0.3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</row>
    <row r="271" spans="1:29" ht="14.25" customHeight="1" x14ac:dyDescent="0.3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</row>
    <row r="272" spans="1:29" ht="14.25" customHeight="1" x14ac:dyDescent="0.3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</row>
    <row r="273" spans="1:29" ht="14.25" customHeight="1" x14ac:dyDescent="0.3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</row>
    <row r="274" spans="1:29" ht="14.25" customHeight="1" x14ac:dyDescent="0.3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</row>
    <row r="275" spans="1:29" ht="14.25" customHeight="1" x14ac:dyDescent="0.3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</row>
    <row r="276" spans="1:29" ht="14.25" customHeight="1" x14ac:dyDescent="0.3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</row>
    <row r="277" spans="1:29" ht="14.25" customHeight="1" x14ac:dyDescent="0.3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</row>
    <row r="278" spans="1:29" ht="14.25" customHeight="1" x14ac:dyDescent="0.3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</row>
    <row r="279" spans="1:29" ht="14.25" customHeight="1" x14ac:dyDescent="0.3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</row>
    <row r="280" spans="1:29" ht="14.25" customHeight="1" x14ac:dyDescent="0.3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</row>
    <row r="281" spans="1:29" ht="14.25" customHeight="1" x14ac:dyDescent="0.3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</row>
    <row r="282" spans="1:29" ht="14.25" customHeight="1" x14ac:dyDescent="0.3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</row>
    <row r="283" spans="1:29" ht="14.25" customHeight="1" x14ac:dyDescent="0.3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</row>
    <row r="284" spans="1:29" ht="14.25" customHeight="1" x14ac:dyDescent="0.3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</row>
    <row r="285" spans="1:29" ht="14.25" customHeight="1" x14ac:dyDescent="0.3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</row>
    <row r="286" spans="1:29" ht="14.25" customHeight="1" x14ac:dyDescent="0.3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</row>
    <row r="287" spans="1:29" ht="14.25" customHeight="1" x14ac:dyDescent="0.3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</row>
    <row r="288" spans="1:29" ht="14.25" customHeight="1" x14ac:dyDescent="0.3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</row>
    <row r="289" spans="1:29" ht="14.25" customHeight="1" x14ac:dyDescent="0.3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</row>
    <row r="290" spans="1:29" ht="14.25" customHeight="1" x14ac:dyDescent="0.3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</row>
    <row r="291" spans="1:29" ht="14.25" customHeight="1" x14ac:dyDescent="0.3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</row>
    <row r="292" spans="1:29" ht="14.25" customHeight="1" x14ac:dyDescent="0.3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</row>
    <row r="293" spans="1:29" ht="14.25" customHeight="1" x14ac:dyDescent="0.3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</row>
    <row r="294" spans="1:29" ht="14.25" customHeight="1" x14ac:dyDescent="0.3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</row>
    <row r="295" spans="1:29" ht="14.25" customHeight="1" x14ac:dyDescent="0.3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</row>
    <row r="296" spans="1:29" ht="14.25" customHeight="1" x14ac:dyDescent="0.3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</row>
    <row r="297" spans="1:29" ht="14.25" customHeight="1" x14ac:dyDescent="0.3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</row>
    <row r="298" spans="1:29" ht="14.25" customHeight="1" x14ac:dyDescent="0.3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</row>
    <row r="299" spans="1:29" ht="14.25" customHeight="1" x14ac:dyDescent="0.3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</row>
    <row r="300" spans="1:29" ht="14.25" customHeight="1" x14ac:dyDescent="0.3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</row>
    <row r="301" spans="1:29" ht="14.25" customHeight="1" x14ac:dyDescent="0.3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</row>
    <row r="302" spans="1:29" ht="14.25" customHeight="1" x14ac:dyDescent="0.3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</row>
    <row r="303" spans="1:29" ht="14.25" customHeight="1" x14ac:dyDescent="0.3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</row>
    <row r="304" spans="1:29" ht="14.25" customHeight="1" x14ac:dyDescent="0.3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</row>
    <row r="305" spans="1:29" ht="14.25" customHeight="1" x14ac:dyDescent="0.3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</row>
    <row r="306" spans="1:29" ht="14.25" customHeight="1" x14ac:dyDescent="0.3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</row>
    <row r="307" spans="1:29" ht="14.25" customHeight="1" x14ac:dyDescent="0.3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</row>
    <row r="308" spans="1:29" ht="14.25" customHeight="1" x14ac:dyDescent="0.3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</row>
    <row r="309" spans="1:29" ht="14.25" customHeight="1" x14ac:dyDescent="0.3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</row>
    <row r="310" spans="1:29" ht="14.25" customHeight="1" x14ac:dyDescent="0.3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</row>
    <row r="311" spans="1:29" ht="14.25" customHeight="1" x14ac:dyDescent="0.3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</row>
    <row r="312" spans="1:29" ht="14.25" customHeight="1" x14ac:dyDescent="0.3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</row>
    <row r="313" spans="1:29" ht="14.25" customHeight="1" x14ac:dyDescent="0.3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</row>
    <row r="314" spans="1:29" ht="14.25" customHeight="1" x14ac:dyDescent="0.3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</row>
    <row r="315" spans="1:29" ht="14.25" customHeight="1" x14ac:dyDescent="0.3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</row>
    <row r="316" spans="1:29" ht="14.25" customHeight="1" x14ac:dyDescent="0.3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</row>
    <row r="317" spans="1:29" ht="14.25" customHeight="1" x14ac:dyDescent="0.3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</row>
    <row r="318" spans="1:29" ht="14.25" customHeight="1" x14ac:dyDescent="0.3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</row>
    <row r="319" spans="1:29" ht="14.25" customHeight="1" x14ac:dyDescent="0.3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</row>
    <row r="320" spans="1:29" ht="14.25" customHeight="1" x14ac:dyDescent="0.3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</row>
    <row r="321" spans="1:29" ht="14.25" customHeight="1" x14ac:dyDescent="0.3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</row>
    <row r="322" spans="1:29" ht="14.25" customHeight="1" x14ac:dyDescent="0.3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</row>
    <row r="323" spans="1:29" ht="14.25" customHeight="1" x14ac:dyDescent="0.3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</row>
    <row r="324" spans="1:29" ht="14.25" customHeight="1" x14ac:dyDescent="0.3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</row>
    <row r="325" spans="1:29" ht="14.25" customHeight="1" x14ac:dyDescent="0.3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</row>
    <row r="326" spans="1:29" ht="14.25" customHeight="1" x14ac:dyDescent="0.3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</row>
    <row r="327" spans="1:29" ht="14.25" customHeight="1" x14ac:dyDescent="0.3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</row>
    <row r="328" spans="1:29" ht="14.25" customHeight="1" x14ac:dyDescent="0.3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</row>
    <row r="329" spans="1:29" ht="14.25" customHeight="1" x14ac:dyDescent="0.3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</row>
    <row r="330" spans="1:29" ht="14.25" customHeight="1" x14ac:dyDescent="0.3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</row>
    <row r="331" spans="1:29" ht="14.25" customHeight="1" x14ac:dyDescent="0.3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</row>
    <row r="332" spans="1:29" ht="14.25" customHeight="1" x14ac:dyDescent="0.3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</row>
    <row r="333" spans="1:29" ht="14.25" customHeight="1" x14ac:dyDescent="0.3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</row>
    <row r="334" spans="1:29" ht="14.25" customHeight="1" x14ac:dyDescent="0.3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</row>
    <row r="335" spans="1:29" ht="14.25" customHeight="1" x14ac:dyDescent="0.3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</row>
    <row r="336" spans="1:29" ht="14.25" customHeight="1" x14ac:dyDescent="0.3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</row>
    <row r="337" spans="1:29" ht="14.25" customHeight="1" x14ac:dyDescent="0.3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</row>
    <row r="338" spans="1:29" ht="14.25" customHeight="1" x14ac:dyDescent="0.3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</row>
    <row r="339" spans="1:29" ht="14.25" customHeight="1" x14ac:dyDescent="0.3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</row>
    <row r="340" spans="1:29" ht="14.25" customHeight="1" x14ac:dyDescent="0.3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</row>
    <row r="341" spans="1:29" ht="14.25" customHeight="1" x14ac:dyDescent="0.3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</row>
    <row r="342" spans="1:29" ht="14.25" customHeight="1" x14ac:dyDescent="0.3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</row>
    <row r="343" spans="1:29" ht="14.25" customHeight="1" x14ac:dyDescent="0.3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</row>
    <row r="344" spans="1:29" ht="14.25" customHeight="1" x14ac:dyDescent="0.3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</row>
    <row r="345" spans="1:29" ht="14.25" customHeight="1" x14ac:dyDescent="0.3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</row>
    <row r="346" spans="1:29" ht="14.25" customHeight="1" x14ac:dyDescent="0.3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</row>
    <row r="347" spans="1:29" ht="14.25" customHeight="1" x14ac:dyDescent="0.3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</row>
    <row r="348" spans="1:29" ht="14.25" customHeight="1" x14ac:dyDescent="0.3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</row>
    <row r="349" spans="1:29" ht="14.25" customHeight="1" x14ac:dyDescent="0.3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</row>
    <row r="350" spans="1:29" ht="14.25" customHeight="1" x14ac:dyDescent="0.3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</row>
    <row r="351" spans="1:29" ht="14.25" customHeight="1" x14ac:dyDescent="0.3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</row>
    <row r="352" spans="1:29" ht="14.25" customHeight="1" x14ac:dyDescent="0.3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</row>
    <row r="353" spans="1:29" ht="14.25" customHeight="1" x14ac:dyDescent="0.3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</row>
    <row r="354" spans="1:29" ht="14.25" customHeight="1" x14ac:dyDescent="0.3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</row>
    <row r="355" spans="1:29" ht="14.25" customHeight="1" x14ac:dyDescent="0.3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</row>
    <row r="356" spans="1:29" ht="14.25" customHeight="1" x14ac:dyDescent="0.3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</row>
    <row r="357" spans="1:29" ht="14.25" customHeight="1" x14ac:dyDescent="0.3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</row>
    <row r="358" spans="1:29" ht="14.25" customHeight="1" x14ac:dyDescent="0.3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</row>
    <row r="359" spans="1:29" ht="14.25" customHeight="1" x14ac:dyDescent="0.3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</row>
    <row r="360" spans="1:29" ht="14.25" customHeight="1" x14ac:dyDescent="0.3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</row>
    <row r="361" spans="1:29" ht="14.25" customHeight="1" x14ac:dyDescent="0.3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</row>
    <row r="362" spans="1:29" ht="14.25" customHeight="1" x14ac:dyDescent="0.3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</row>
    <row r="363" spans="1:29" ht="14.25" customHeight="1" x14ac:dyDescent="0.3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</row>
    <row r="364" spans="1:29" ht="14.25" customHeight="1" x14ac:dyDescent="0.3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</row>
    <row r="365" spans="1:29" ht="14.25" customHeight="1" x14ac:dyDescent="0.3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</row>
    <row r="366" spans="1:29" ht="14.25" customHeight="1" x14ac:dyDescent="0.3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</row>
    <row r="367" spans="1:29" ht="14.25" customHeight="1" x14ac:dyDescent="0.3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</row>
    <row r="368" spans="1:29" ht="14.25" customHeight="1" x14ac:dyDescent="0.3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</row>
    <row r="369" spans="1:29" ht="14.25" customHeight="1" x14ac:dyDescent="0.3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</row>
    <row r="370" spans="1:29" ht="14.25" customHeight="1" x14ac:dyDescent="0.3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</row>
    <row r="371" spans="1:29" ht="14.25" customHeight="1" x14ac:dyDescent="0.3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</row>
    <row r="372" spans="1:29" ht="14.25" customHeight="1" x14ac:dyDescent="0.3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</row>
    <row r="373" spans="1:29" ht="14.25" customHeight="1" x14ac:dyDescent="0.3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</row>
    <row r="374" spans="1:29" ht="14.25" customHeight="1" x14ac:dyDescent="0.3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</row>
    <row r="375" spans="1:29" ht="14.25" customHeight="1" x14ac:dyDescent="0.3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</row>
    <row r="376" spans="1:29" ht="14.25" customHeight="1" x14ac:dyDescent="0.3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</row>
    <row r="377" spans="1:29" ht="14.25" customHeight="1" x14ac:dyDescent="0.3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</row>
    <row r="378" spans="1:29" ht="14.25" customHeight="1" x14ac:dyDescent="0.3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</row>
    <row r="379" spans="1:29" ht="14.25" customHeight="1" x14ac:dyDescent="0.3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</row>
    <row r="380" spans="1:29" ht="14.25" customHeight="1" x14ac:dyDescent="0.3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</row>
    <row r="381" spans="1:29" ht="14.25" customHeight="1" x14ac:dyDescent="0.3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</row>
    <row r="382" spans="1:29" ht="14.25" customHeight="1" x14ac:dyDescent="0.3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</row>
    <row r="383" spans="1:29" ht="14.25" customHeight="1" x14ac:dyDescent="0.3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</row>
    <row r="384" spans="1:29" ht="14.25" customHeight="1" x14ac:dyDescent="0.3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</row>
    <row r="385" spans="1:29" ht="14.25" customHeight="1" x14ac:dyDescent="0.3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</row>
    <row r="386" spans="1:29" ht="14.25" customHeight="1" x14ac:dyDescent="0.3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</row>
    <row r="387" spans="1:29" ht="14.25" customHeight="1" x14ac:dyDescent="0.3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</row>
    <row r="388" spans="1:29" ht="14.25" customHeight="1" x14ac:dyDescent="0.3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</row>
    <row r="389" spans="1:29" ht="14.25" customHeight="1" x14ac:dyDescent="0.3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</row>
    <row r="390" spans="1:29" ht="14.25" customHeight="1" x14ac:dyDescent="0.3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</row>
    <row r="391" spans="1:29" ht="14.25" customHeight="1" x14ac:dyDescent="0.3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</row>
    <row r="392" spans="1:29" ht="14.25" customHeight="1" x14ac:dyDescent="0.3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</row>
    <row r="393" spans="1:29" ht="14.25" customHeight="1" x14ac:dyDescent="0.3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</row>
    <row r="394" spans="1:29" ht="14.25" customHeight="1" x14ac:dyDescent="0.3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</row>
    <row r="395" spans="1:29" ht="14.25" customHeight="1" x14ac:dyDescent="0.3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</row>
    <row r="396" spans="1:29" ht="14.25" customHeight="1" x14ac:dyDescent="0.3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</row>
    <row r="397" spans="1:29" ht="14.25" customHeight="1" x14ac:dyDescent="0.3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</row>
    <row r="398" spans="1:29" ht="14.25" customHeight="1" x14ac:dyDescent="0.3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</row>
    <row r="399" spans="1:29" ht="14.25" customHeight="1" x14ac:dyDescent="0.3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</row>
    <row r="400" spans="1:29" ht="14.25" customHeight="1" x14ac:dyDescent="0.3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</row>
    <row r="401" spans="1:29" ht="14.25" customHeight="1" x14ac:dyDescent="0.3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</row>
    <row r="402" spans="1:29" ht="14.25" customHeight="1" x14ac:dyDescent="0.3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</row>
    <row r="403" spans="1:29" ht="14.25" customHeight="1" x14ac:dyDescent="0.3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</row>
    <row r="404" spans="1:29" ht="14.25" customHeight="1" x14ac:dyDescent="0.3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</row>
    <row r="405" spans="1:29" ht="14.25" customHeight="1" x14ac:dyDescent="0.3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</row>
    <row r="406" spans="1:29" ht="14.25" customHeight="1" x14ac:dyDescent="0.3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</row>
    <row r="407" spans="1:29" ht="14.25" customHeight="1" x14ac:dyDescent="0.3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</row>
    <row r="408" spans="1:29" ht="14.25" customHeight="1" x14ac:dyDescent="0.3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</row>
    <row r="409" spans="1:29" ht="14.25" customHeight="1" x14ac:dyDescent="0.3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</row>
    <row r="410" spans="1:29" ht="14.25" customHeight="1" x14ac:dyDescent="0.3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</row>
    <row r="411" spans="1:29" ht="14.25" customHeight="1" x14ac:dyDescent="0.3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</row>
    <row r="412" spans="1:29" ht="14.25" customHeight="1" x14ac:dyDescent="0.3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</row>
    <row r="413" spans="1:29" ht="14.25" customHeight="1" x14ac:dyDescent="0.3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</row>
    <row r="414" spans="1:29" ht="14.25" customHeight="1" x14ac:dyDescent="0.3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</row>
    <row r="415" spans="1:29" ht="14.25" customHeight="1" x14ac:dyDescent="0.3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</row>
    <row r="416" spans="1:29" ht="14.25" customHeight="1" x14ac:dyDescent="0.3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</row>
    <row r="417" spans="1:29" ht="14.25" customHeight="1" x14ac:dyDescent="0.3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</row>
    <row r="418" spans="1:29" ht="14.25" customHeight="1" x14ac:dyDescent="0.3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</row>
    <row r="419" spans="1:29" ht="14.25" customHeight="1" x14ac:dyDescent="0.3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</row>
    <row r="420" spans="1:29" ht="14.25" customHeight="1" x14ac:dyDescent="0.3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</row>
    <row r="421" spans="1:29" ht="14.25" customHeight="1" x14ac:dyDescent="0.3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</row>
    <row r="422" spans="1:29" ht="14.25" customHeight="1" x14ac:dyDescent="0.3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</row>
    <row r="423" spans="1:29" ht="14.25" customHeight="1" x14ac:dyDescent="0.3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</row>
    <row r="424" spans="1:29" ht="14.25" customHeight="1" x14ac:dyDescent="0.3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</row>
    <row r="425" spans="1:29" ht="14.25" customHeight="1" x14ac:dyDescent="0.3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</row>
    <row r="426" spans="1:29" ht="14.25" customHeight="1" x14ac:dyDescent="0.3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</row>
    <row r="427" spans="1:29" ht="14.25" customHeight="1" x14ac:dyDescent="0.3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</row>
    <row r="428" spans="1:29" ht="14.25" customHeight="1" x14ac:dyDescent="0.3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</row>
    <row r="429" spans="1:29" ht="14.25" customHeight="1" x14ac:dyDescent="0.3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</row>
    <row r="430" spans="1:29" ht="14.25" customHeight="1" x14ac:dyDescent="0.3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</row>
    <row r="431" spans="1:29" ht="14.25" customHeight="1" x14ac:dyDescent="0.3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</row>
    <row r="432" spans="1:29" ht="14.25" customHeight="1" x14ac:dyDescent="0.3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</row>
    <row r="433" spans="1:29" ht="14.25" customHeight="1" x14ac:dyDescent="0.3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</row>
    <row r="434" spans="1:29" ht="14.25" customHeight="1" x14ac:dyDescent="0.3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</row>
    <row r="435" spans="1:29" ht="14.25" customHeight="1" x14ac:dyDescent="0.3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</row>
    <row r="436" spans="1:29" ht="14.25" customHeight="1" x14ac:dyDescent="0.3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</row>
    <row r="437" spans="1:29" ht="14.25" customHeight="1" x14ac:dyDescent="0.3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</row>
    <row r="438" spans="1:29" ht="14.25" customHeight="1" x14ac:dyDescent="0.3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</row>
    <row r="439" spans="1:29" ht="14.25" customHeight="1" x14ac:dyDescent="0.3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</row>
    <row r="440" spans="1:29" ht="14.25" customHeight="1" x14ac:dyDescent="0.3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</row>
    <row r="441" spans="1:29" ht="14.25" customHeight="1" x14ac:dyDescent="0.3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</row>
    <row r="442" spans="1:29" ht="14.25" customHeight="1" x14ac:dyDescent="0.3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</row>
    <row r="443" spans="1:29" ht="14.25" customHeight="1" x14ac:dyDescent="0.3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</row>
    <row r="444" spans="1:29" ht="14.25" customHeight="1" x14ac:dyDescent="0.3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</row>
    <row r="445" spans="1:29" ht="14.25" customHeight="1" x14ac:dyDescent="0.3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</row>
    <row r="446" spans="1:29" ht="14.25" customHeight="1" x14ac:dyDescent="0.3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</row>
    <row r="447" spans="1:29" ht="14.25" customHeight="1" x14ac:dyDescent="0.3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</row>
    <row r="448" spans="1:29" ht="14.25" customHeight="1" x14ac:dyDescent="0.3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</row>
    <row r="449" spans="1:29" ht="14.25" customHeight="1" x14ac:dyDescent="0.3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</row>
    <row r="450" spans="1:29" ht="14.25" customHeight="1" x14ac:dyDescent="0.3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</row>
    <row r="451" spans="1:29" ht="14.25" customHeight="1" x14ac:dyDescent="0.3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</row>
    <row r="452" spans="1:29" ht="14.25" customHeight="1" x14ac:dyDescent="0.3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</row>
    <row r="453" spans="1:29" ht="14.25" customHeight="1" x14ac:dyDescent="0.3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</row>
    <row r="454" spans="1:29" ht="14.25" customHeight="1" x14ac:dyDescent="0.3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</row>
    <row r="455" spans="1:29" ht="14.25" customHeight="1" x14ac:dyDescent="0.3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</row>
    <row r="456" spans="1:29" ht="14.25" customHeight="1" x14ac:dyDescent="0.3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</row>
    <row r="457" spans="1:29" ht="14.25" customHeight="1" x14ac:dyDescent="0.3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</row>
    <row r="458" spans="1:29" ht="14.25" customHeight="1" x14ac:dyDescent="0.3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</row>
    <row r="459" spans="1:29" ht="14.25" customHeight="1" x14ac:dyDescent="0.3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</row>
    <row r="460" spans="1:29" ht="14.25" customHeight="1" x14ac:dyDescent="0.3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</row>
    <row r="461" spans="1:29" ht="14.25" customHeight="1" x14ac:dyDescent="0.3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</row>
    <row r="462" spans="1:29" ht="14.25" customHeight="1" x14ac:dyDescent="0.3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</row>
    <row r="463" spans="1:29" ht="14.25" customHeight="1" x14ac:dyDescent="0.3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</row>
    <row r="464" spans="1:29" ht="14.25" customHeight="1" x14ac:dyDescent="0.3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</row>
    <row r="465" spans="1:29" ht="14.25" customHeight="1" x14ac:dyDescent="0.3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</row>
    <row r="466" spans="1:29" ht="14.25" customHeight="1" x14ac:dyDescent="0.3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</row>
    <row r="467" spans="1:29" ht="14.25" customHeight="1" x14ac:dyDescent="0.3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</row>
    <row r="468" spans="1:29" ht="14.25" customHeight="1" x14ac:dyDescent="0.3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</row>
    <row r="469" spans="1:29" ht="14.25" customHeight="1" x14ac:dyDescent="0.3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</row>
    <row r="470" spans="1:29" ht="14.25" customHeight="1" x14ac:dyDescent="0.3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</row>
    <row r="471" spans="1:29" ht="14.25" customHeight="1" x14ac:dyDescent="0.3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</row>
    <row r="472" spans="1:29" ht="14.25" customHeight="1" x14ac:dyDescent="0.3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</row>
    <row r="473" spans="1:29" ht="14.25" customHeight="1" x14ac:dyDescent="0.3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</row>
    <row r="474" spans="1:29" ht="14.25" customHeight="1" x14ac:dyDescent="0.3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</row>
    <row r="475" spans="1:29" ht="14.25" customHeight="1" x14ac:dyDescent="0.3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</row>
    <row r="476" spans="1:29" ht="14.25" customHeight="1" x14ac:dyDescent="0.3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</row>
    <row r="477" spans="1:29" ht="14.25" customHeight="1" x14ac:dyDescent="0.3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</row>
    <row r="478" spans="1:29" ht="14.25" customHeight="1" x14ac:dyDescent="0.3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</row>
    <row r="479" spans="1:29" ht="14.25" customHeight="1" x14ac:dyDescent="0.3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</row>
    <row r="480" spans="1:29" ht="14.25" customHeight="1" x14ac:dyDescent="0.3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</row>
    <row r="481" spans="1:29" ht="14.25" customHeight="1" x14ac:dyDescent="0.3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</row>
    <row r="482" spans="1:29" ht="14.25" customHeight="1" x14ac:dyDescent="0.3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</row>
    <row r="483" spans="1:29" ht="14.25" customHeight="1" x14ac:dyDescent="0.3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</row>
    <row r="484" spans="1:29" ht="14.25" customHeight="1" x14ac:dyDescent="0.3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</row>
    <row r="485" spans="1:29" ht="14.25" customHeight="1" x14ac:dyDescent="0.3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</row>
    <row r="486" spans="1:29" ht="14.25" customHeight="1" x14ac:dyDescent="0.3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</row>
    <row r="487" spans="1:29" ht="14.25" customHeight="1" x14ac:dyDescent="0.3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</row>
    <row r="488" spans="1:29" ht="14.25" customHeight="1" x14ac:dyDescent="0.3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</row>
    <row r="489" spans="1:29" ht="14.25" customHeight="1" x14ac:dyDescent="0.3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</row>
    <row r="490" spans="1:29" ht="14.25" customHeight="1" x14ac:dyDescent="0.3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</row>
    <row r="491" spans="1:29" ht="14.25" customHeight="1" x14ac:dyDescent="0.3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</row>
    <row r="492" spans="1:29" ht="14.25" customHeight="1" x14ac:dyDescent="0.3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</row>
    <row r="493" spans="1:29" ht="14.25" customHeight="1" x14ac:dyDescent="0.3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</row>
    <row r="494" spans="1:29" ht="14.25" customHeight="1" x14ac:dyDescent="0.3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</row>
    <row r="495" spans="1:29" ht="14.25" customHeight="1" x14ac:dyDescent="0.3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</row>
    <row r="496" spans="1:29" ht="14.25" customHeight="1" x14ac:dyDescent="0.3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</row>
    <row r="497" spans="1:29" ht="14.25" customHeight="1" x14ac:dyDescent="0.3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</row>
    <row r="498" spans="1:29" ht="14.25" customHeight="1" x14ac:dyDescent="0.3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</row>
    <row r="499" spans="1:29" ht="14.25" customHeight="1" x14ac:dyDescent="0.3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</row>
    <row r="500" spans="1:29" ht="14.25" customHeight="1" x14ac:dyDescent="0.3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</row>
    <row r="501" spans="1:29" ht="14.25" customHeight="1" x14ac:dyDescent="0.3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</row>
    <row r="502" spans="1:29" ht="14.25" customHeight="1" x14ac:dyDescent="0.3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</row>
    <row r="503" spans="1:29" ht="14.25" customHeight="1" x14ac:dyDescent="0.3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</row>
    <row r="504" spans="1:29" ht="14.25" customHeight="1" x14ac:dyDescent="0.3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</row>
    <row r="505" spans="1:29" ht="14.25" customHeight="1" x14ac:dyDescent="0.3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</row>
    <row r="506" spans="1:29" ht="14.25" customHeight="1" x14ac:dyDescent="0.3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</row>
    <row r="507" spans="1:29" ht="14.25" customHeight="1" x14ac:dyDescent="0.3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</row>
    <row r="508" spans="1:29" ht="14.25" customHeight="1" x14ac:dyDescent="0.3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</row>
    <row r="509" spans="1:29" ht="14.25" customHeight="1" x14ac:dyDescent="0.3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</row>
    <row r="510" spans="1:29" ht="14.25" customHeight="1" x14ac:dyDescent="0.3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</row>
    <row r="511" spans="1:29" ht="14.25" customHeight="1" x14ac:dyDescent="0.3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</row>
    <row r="512" spans="1:29" ht="14.25" customHeight="1" x14ac:dyDescent="0.3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</row>
    <row r="513" spans="1:29" ht="14.25" customHeight="1" x14ac:dyDescent="0.3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</row>
    <row r="514" spans="1:29" ht="14.25" customHeight="1" x14ac:dyDescent="0.3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</row>
    <row r="515" spans="1:29" ht="14.25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</row>
    <row r="516" spans="1:29" ht="14.25" customHeight="1" x14ac:dyDescent="0.3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</row>
    <row r="517" spans="1:29" ht="14.25" customHeight="1" x14ac:dyDescent="0.3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</row>
    <row r="518" spans="1:29" ht="14.25" customHeight="1" x14ac:dyDescent="0.3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</row>
    <row r="519" spans="1:29" ht="14.25" customHeight="1" x14ac:dyDescent="0.3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</row>
    <row r="520" spans="1:29" ht="14.25" customHeight="1" x14ac:dyDescent="0.3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</row>
    <row r="521" spans="1:29" ht="14.25" customHeight="1" x14ac:dyDescent="0.3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</row>
    <row r="522" spans="1:29" ht="14.25" customHeight="1" x14ac:dyDescent="0.3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</row>
    <row r="523" spans="1:29" ht="14.25" customHeight="1" x14ac:dyDescent="0.3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</row>
    <row r="524" spans="1:29" ht="14.25" customHeight="1" x14ac:dyDescent="0.3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</row>
    <row r="525" spans="1:29" ht="14.25" customHeight="1" x14ac:dyDescent="0.3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</row>
    <row r="526" spans="1:29" ht="14.25" customHeight="1" x14ac:dyDescent="0.3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</row>
    <row r="527" spans="1:29" ht="14.25" customHeight="1" x14ac:dyDescent="0.3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</row>
    <row r="528" spans="1:29" ht="14.25" customHeight="1" x14ac:dyDescent="0.3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</row>
    <row r="529" spans="1:29" ht="14.25" customHeight="1" x14ac:dyDescent="0.3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</row>
    <row r="530" spans="1:29" ht="14.25" customHeight="1" x14ac:dyDescent="0.3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</row>
    <row r="531" spans="1:29" ht="14.25" customHeight="1" x14ac:dyDescent="0.3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</row>
    <row r="532" spans="1:29" ht="14.25" customHeight="1" x14ac:dyDescent="0.3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</row>
    <row r="533" spans="1:29" ht="14.25" customHeight="1" x14ac:dyDescent="0.3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</row>
    <row r="534" spans="1:29" ht="14.25" customHeight="1" x14ac:dyDescent="0.3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</row>
    <row r="535" spans="1:29" ht="14.25" customHeight="1" x14ac:dyDescent="0.3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</row>
    <row r="536" spans="1:29" ht="14.25" customHeight="1" x14ac:dyDescent="0.3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</row>
    <row r="537" spans="1:29" ht="14.25" customHeight="1" x14ac:dyDescent="0.3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</row>
    <row r="538" spans="1:29" ht="14.25" customHeight="1" x14ac:dyDescent="0.3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</row>
    <row r="539" spans="1:29" ht="14.25" customHeight="1" x14ac:dyDescent="0.3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</row>
    <row r="540" spans="1:29" ht="14.25" customHeight="1" x14ac:dyDescent="0.3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</row>
    <row r="541" spans="1:29" ht="14.25" customHeight="1" x14ac:dyDescent="0.3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</row>
    <row r="542" spans="1:29" ht="14.25" customHeight="1" x14ac:dyDescent="0.3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</row>
    <row r="543" spans="1:29" ht="14.25" customHeight="1" x14ac:dyDescent="0.3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</row>
    <row r="544" spans="1:29" ht="14.25" customHeight="1" x14ac:dyDescent="0.3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</row>
    <row r="545" spans="1:29" ht="14.25" customHeight="1" x14ac:dyDescent="0.3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</row>
    <row r="546" spans="1:29" ht="14.25" customHeight="1" x14ac:dyDescent="0.3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</row>
    <row r="547" spans="1:29" ht="14.25" customHeight="1" x14ac:dyDescent="0.3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</row>
    <row r="548" spans="1:29" ht="14.25" customHeight="1" x14ac:dyDescent="0.3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</row>
    <row r="549" spans="1:29" ht="14.25" customHeight="1" x14ac:dyDescent="0.3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</row>
    <row r="550" spans="1:29" ht="14.25" customHeight="1" x14ac:dyDescent="0.3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</row>
    <row r="551" spans="1:29" ht="14.25" customHeight="1" x14ac:dyDescent="0.3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</row>
    <row r="552" spans="1:29" ht="14.25" customHeight="1" x14ac:dyDescent="0.3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</row>
    <row r="553" spans="1:29" ht="14.25" customHeight="1" x14ac:dyDescent="0.3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</row>
    <row r="554" spans="1:29" ht="14.25" customHeight="1" x14ac:dyDescent="0.3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</row>
    <row r="555" spans="1:29" ht="14.25" customHeight="1" x14ac:dyDescent="0.3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</row>
    <row r="556" spans="1:29" ht="14.25" customHeight="1" x14ac:dyDescent="0.3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</row>
    <row r="557" spans="1:29" ht="14.25" customHeight="1" x14ac:dyDescent="0.3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</row>
    <row r="558" spans="1:29" ht="14.25" customHeight="1" x14ac:dyDescent="0.3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</row>
    <row r="559" spans="1:29" ht="14.25" customHeight="1" x14ac:dyDescent="0.3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</row>
    <row r="560" spans="1:29" ht="14.25" customHeight="1" x14ac:dyDescent="0.3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</row>
    <row r="561" spans="1:29" ht="14.25" customHeight="1" x14ac:dyDescent="0.3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</row>
    <row r="562" spans="1:29" ht="14.25" customHeight="1" x14ac:dyDescent="0.3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</row>
    <row r="563" spans="1:29" ht="14.25" customHeight="1" x14ac:dyDescent="0.3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</row>
    <row r="564" spans="1:29" ht="14.25" customHeight="1" x14ac:dyDescent="0.3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</row>
    <row r="565" spans="1:29" ht="14.25" customHeight="1" x14ac:dyDescent="0.3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</row>
    <row r="566" spans="1:29" ht="14.25" customHeight="1" x14ac:dyDescent="0.3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</row>
    <row r="567" spans="1:29" ht="14.25" customHeight="1" x14ac:dyDescent="0.3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</row>
    <row r="568" spans="1:29" ht="14.25" customHeight="1" x14ac:dyDescent="0.3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</row>
    <row r="569" spans="1:29" ht="14.25" customHeight="1" x14ac:dyDescent="0.3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</row>
    <row r="570" spans="1:29" ht="14.25" customHeight="1" x14ac:dyDescent="0.3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</row>
    <row r="571" spans="1:29" ht="14.25" customHeight="1" x14ac:dyDescent="0.3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</row>
    <row r="572" spans="1:29" ht="14.25" customHeight="1" x14ac:dyDescent="0.3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</row>
    <row r="573" spans="1:29" ht="14.25" customHeight="1" x14ac:dyDescent="0.3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</row>
    <row r="574" spans="1:29" ht="14.25" customHeight="1" x14ac:dyDescent="0.3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</row>
    <row r="575" spans="1:29" ht="14.25" customHeight="1" x14ac:dyDescent="0.3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</row>
    <row r="576" spans="1:29" ht="14.25" customHeight="1" x14ac:dyDescent="0.3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</row>
    <row r="577" spans="1:29" ht="14.25" customHeight="1" x14ac:dyDescent="0.3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</row>
    <row r="578" spans="1:29" ht="14.25" customHeight="1" x14ac:dyDescent="0.3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</row>
    <row r="579" spans="1:29" ht="14.25" customHeight="1" x14ac:dyDescent="0.3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</row>
    <row r="580" spans="1:29" ht="14.25" customHeight="1" x14ac:dyDescent="0.3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</row>
    <row r="581" spans="1:29" ht="14.25" customHeight="1" x14ac:dyDescent="0.3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</row>
    <row r="582" spans="1:29" ht="14.25" customHeight="1" x14ac:dyDescent="0.3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</row>
    <row r="583" spans="1:29" ht="14.25" customHeight="1" x14ac:dyDescent="0.3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</row>
    <row r="584" spans="1:29" ht="14.25" customHeight="1" x14ac:dyDescent="0.3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</row>
    <row r="585" spans="1:29" ht="14.25" customHeight="1" x14ac:dyDescent="0.3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</row>
    <row r="586" spans="1:29" ht="14.25" customHeight="1" x14ac:dyDescent="0.3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</row>
    <row r="587" spans="1:29" ht="14.25" customHeight="1" x14ac:dyDescent="0.3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</row>
    <row r="588" spans="1:29" ht="14.25" customHeight="1" x14ac:dyDescent="0.3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</row>
    <row r="589" spans="1:29" ht="14.25" customHeight="1" x14ac:dyDescent="0.3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</row>
    <row r="590" spans="1:29" ht="14.25" customHeight="1" x14ac:dyDescent="0.3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</row>
    <row r="591" spans="1:29" ht="14.25" customHeight="1" x14ac:dyDescent="0.3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</row>
    <row r="592" spans="1:29" ht="14.25" customHeight="1" x14ac:dyDescent="0.3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</row>
    <row r="593" spans="1:29" ht="14.25" customHeight="1" x14ac:dyDescent="0.3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</row>
    <row r="594" spans="1:29" ht="14.25" customHeight="1" x14ac:dyDescent="0.3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</row>
    <row r="595" spans="1:29" ht="14.25" customHeight="1" x14ac:dyDescent="0.3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</row>
    <row r="596" spans="1:29" ht="14.25" customHeight="1" x14ac:dyDescent="0.3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</row>
    <row r="597" spans="1:29" ht="14.25" customHeight="1" x14ac:dyDescent="0.3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</row>
    <row r="598" spans="1:29" ht="14.25" customHeight="1" x14ac:dyDescent="0.3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</row>
    <row r="599" spans="1:29" ht="14.25" customHeight="1" x14ac:dyDescent="0.3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</row>
    <row r="600" spans="1:29" ht="14.25" customHeight="1" x14ac:dyDescent="0.3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</row>
    <row r="601" spans="1:29" ht="14.25" customHeight="1" x14ac:dyDescent="0.3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</row>
    <row r="602" spans="1:29" ht="14.25" customHeight="1" x14ac:dyDescent="0.3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</row>
    <row r="603" spans="1:29" ht="14.25" customHeight="1" x14ac:dyDescent="0.3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</row>
    <row r="604" spans="1:29" ht="14.25" customHeight="1" x14ac:dyDescent="0.3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</row>
    <row r="605" spans="1:29" ht="14.25" customHeight="1" x14ac:dyDescent="0.3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</row>
    <row r="606" spans="1:29" ht="14.25" customHeight="1" x14ac:dyDescent="0.3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</row>
    <row r="607" spans="1:29" ht="14.25" customHeight="1" x14ac:dyDescent="0.3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</row>
    <row r="608" spans="1:29" ht="14.25" customHeight="1" x14ac:dyDescent="0.3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</row>
    <row r="609" spans="1:29" ht="14.25" customHeight="1" x14ac:dyDescent="0.3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</row>
    <row r="610" spans="1:29" ht="14.25" customHeight="1" x14ac:dyDescent="0.3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</row>
    <row r="611" spans="1:29" ht="14.25" customHeight="1" x14ac:dyDescent="0.3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</row>
    <row r="612" spans="1:29" ht="14.25" customHeight="1" x14ac:dyDescent="0.3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</row>
    <row r="613" spans="1:29" ht="14.25" customHeight="1" x14ac:dyDescent="0.3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</row>
    <row r="614" spans="1:29" ht="14.25" customHeight="1" x14ac:dyDescent="0.3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</row>
    <row r="615" spans="1:29" ht="14.25" customHeight="1" x14ac:dyDescent="0.3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</row>
    <row r="616" spans="1:29" ht="14.25" customHeight="1" x14ac:dyDescent="0.3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</row>
    <row r="617" spans="1:29" ht="14.25" customHeight="1" x14ac:dyDescent="0.3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</row>
    <row r="618" spans="1:29" ht="14.25" customHeight="1" x14ac:dyDescent="0.3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</row>
    <row r="619" spans="1:29" ht="14.25" customHeight="1" x14ac:dyDescent="0.3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</row>
    <row r="620" spans="1:29" ht="14.25" customHeight="1" x14ac:dyDescent="0.3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</row>
    <row r="621" spans="1:29" ht="14.25" customHeight="1" x14ac:dyDescent="0.3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</row>
    <row r="622" spans="1:29" ht="14.25" customHeight="1" x14ac:dyDescent="0.3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</row>
    <row r="623" spans="1:29" ht="14.25" customHeight="1" x14ac:dyDescent="0.3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</row>
    <row r="624" spans="1:29" ht="14.25" customHeight="1" x14ac:dyDescent="0.3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</row>
    <row r="625" spans="1:29" ht="14.25" customHeight="1" x14ac:dyDescent="0.3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</row>
    <row r="626" spans="1:29" ht="14.25" customHeight="1" x14ac:dyDescent="0.3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</row>
    <row r="627" spans="1:29" ht="14.25" customHeight="1" x14ac:dyDescent="0.3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</row>
    <row r="628" spans="1:29" ht="14.25" customHeight="1" x14ac:dyDescent="0.3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</row>
    <row r="629" spans="1:29" ht="14.25" customHeight="1" x14ac:dyDescent="0.3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</row>
    <row r="630" spans="1:29" ht="14.25" customHeight="1" x14ac:dyDescent="0.3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</row>
    <row r="631" spans="1:29" ht="14.25" customHeight="1" x14ac:dyDescent="0.3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</row>
    <row r="632" spans="1:29" ht="14.25" customHeight="1" x14ac:dyDescent="0.3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</row>
    <row r="633" spans="1:29" ht="14.25" customHeight="1" x14ac:dyDescent="0.3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</row>
    <row r="634" spans="1:29" ht="14.25" customHeight="1" x14ac:dyDescent="0.3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</row>
    <row r="635" spans="1:29" ht="14.25" customHeight="1" x14ac:dyDescent="0.3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</row>
    <row r="636" spans="1:29" ht="14.25" customHeight="1" x14ac:dyDescent="0.3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</row>
    <row r="637" spans="1:29" ht="14.25" customHeight="1" x14ac:dyDescent="0.3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</row>
    <row r="638" spans="1:29" ht="14.25" customHeight="1" x14ac:dyDescent="0.3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</row>
    <row r="639" spans="1:29" ht="14.25" customHeight="1" x14ac:dyDescent="0.3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</row>
    <row r="640" spans="1:29" ht="14.25" customHeight="1" x14ac:dyDescent="0.3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</row>
    <row r="641" spans="1:29" ht="14.25" customHeight="1" x14ac:dyDescent="0.3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</row>
    <row r="642" spans="1:29" ht="14.25" customHeight="1" x14ac:dyDescent="0.3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</row>
    <row r="643" spans="1:29" ht="14.25" customHeight="1" x14ac:dyDescent="0.3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</row>
    <row r="644" spans="1:29" ht="14.25" customHeight="1" x14ac:dyDescent="0.3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</row>
    <row r="645" spans="1:29" ht="14.25" customHeight="1" x14ac:dyDescent="0.3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</row>
    <row r="646" spans="1:29" ht="14.25" customHeight="1" x14ac:dyDescent="0.3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</row>
    <row r="647" spans="1:29" ht="14.25" customHeight="1" x14ac:dyDescent="0.3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</row>
    <row r="648" spans="1:29" ht="14.25" customHeight="1" x14ac:dyDescent="0.3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</row>
    <row r="649" spans="1:29" ht="14.25" customHeight="1" x14ac:dyDescent="0.3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</row>
    <row r="650" spans="1:29" ht="14.25" customHeight="1" x14ac:dyDescent="0.3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</row>
    <row r="651" spans="1:29" ht="14.25" customHeight="1" x14ac:dyDescent="0.3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</row>
    <row r="652" spans="1:29" ht="14.25" customHeight="1" x14ac:dyDescent="0.3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</row>
    <row r="653" spans="1:29" ht="14.25" customHeight="1" x14ac:dyDescent="0.3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</row>
    <row r="654" spans="1:29" ht="14.25" customHeight="1" x14ac:dyDescent="0.3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</row>
    <row r="655" spans="1:29" ht="14.25" customHeight="1" x14ac:dyDescent="0.3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</row>
    <row r="656" spans="1:29" ht="14.25" customHeight="1" x14ac:dyDescent="0.3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</row>
    <row r="657" spans="1:29" ht="14.25" customHeight="1" x14ac:dyDescent="0.3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</row>
    <row r="658" spans="1:29" ht="14.25" customHeight="1" x14ac:dyDescent="0.3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</row>
    <row r="659" spans="1:29" ht="14.25" customHeight="1" x14ac:dyDescent="0.3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</row>
    <row r="660" spans="1:29" ht="14.25" customHeight="1" x14ac:dyDescent="0.3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</row>
    <row r="661" spans="1:29" ht="14.25" customHeight="1" x14ac:dyDescent="0.3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</row>
    <row r="662" spans="1:29" ht="14.25" customHeight="1" x14ac:dyDescent="0.3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</row>
    <row r="663" spans="1:29" ht="14.25" customHeight="1" x14ac:dyDescent="0.3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</row>
    <row r="664" spans="1:29" ht="14.25" customHeight="1" x14ac:dyDescent="0.3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</row>
    <row r="665" spans="1:29" ht="14.25" customHeight="1" x14ac:dyDescent="0.3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</row>
    <row r="666" spans="1:29" ht="14.25" customHeight="1" x14ac:dyDescent="0.3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</row>
    <row r="667" spans="1:29" ht="14.25" customHeight="1" x14ac:dyDescent="0.3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</row>
    <row r="668" spans="1:29" ht="14.25" customHeight="1" x14ac:dyDescent="0.3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</row>
    <row r="669" spans="1:29" ht="14.25" customHeight="1" x14ac:dyDescent="0.3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</row>
    <row r="670" spans="1:29" ht="14.25" customHeight="1" x14ac:dyDescent="0.3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</row>
    <row r="671" spans="1:29" ht="14.25" customHeight="1" x14ac:dyDescent="0.3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</row>
    <row r="672" spans="1:29" ht="14.25" customHeight="1" x14ac:dyDescent="0.3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</row>
    <row r="673" spans="1:29" ht="14.25" customHeight="1" x14ac:dyDescent="0.3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</row>
    <row r="674" spans="1:29" ht="14.25" customHeight="1" x14ac:dyDescent="0.3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</row>
    <row r="675" spans="1:29" ht="14.25" customHeight="1" x14ac:dyDescent="0.3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</row>
    <row r="676" spans="1:29" ht="14.25" customHeight="1" x14ac:dyDescent="0.3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</row>
    <row r="677" spans="1:29" ht="14.25" customHeight="1" x14ac:dyDescent="0.3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</row>
    <row r="678" spans="1:29" ht="14.25" customHeight="1" x14ac:dyDescent="0.3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</row>
    <row r="679" spans="1:29" ht="14.25" customHeight="1" x14ac:dyDescent="0.3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</row>
    <row r="680" spans="1:29" ht="14.25" customHeight="1" x14ac:dyDescent="0.3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</row>
    <row r="681" spans="1:29" ht="14.25" customHeight="1" x14ac:dyDescent="0.3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</row>
    <row r="682" spans="1:29" ht="14.25" customHeight="1" x14ac:dyDescent="0.3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</row>
    <row r="683" spans="1:29" ht="14.25" customHeight="1" x14ac:dyDescent="0.3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</row>
    <row r="684" spans="1:29" ht="14.25" customHeight="1" x14ac:dyDescent="0.3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</row>
    <row r="685" spans="1:29" ht="14.25" customHeight="1" x14ac:dyDescent="0.3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</row>
    <row r="686" spans="1:29" ht="14.25" customHeight="1" x14ac:dyDescent="0.3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</row>
    <row r="687" spans="1:29" ht="14.25" customHeight="1" x14ac:dyDescent="0.3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</row>
    <row r="688" spans="1:29" ht="14.25" customHeight="1" x14ac:dyDescent="0.3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</row>
    <row r="689" spans="1:29" ht="14.25" customHeight="1" x14ac:dyDescent="0.3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</row>
    <row r="690" spans="1:29" ht="14.25" customHeight="1" x14ac:dyDescent="0.3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</row>
    <row r="691" spans="1:29" ht="14.25" customHeight="1" x14ac:dyDescent="0.3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</row>
    <row r="692" spans="1:29" ht="14.25" customHeight="1" x14ac:dyDescent="0.3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</row>
    <row r="693" spans="1:29" ht="14.25" customHeight="1" x14ac:dyDescent="0.3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</row>
    <row r="694" spans="1:29" ht="14.25" customHeight="1" x14ac:dyDescent="0.3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</row>
    <row r="695" spans="1:29" ht="14.25" customHeight="1" x14ac:dyDescent="0.3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</row>
    <row r="696" spans="1:29" ht="14.25" customHeight="1" x14ac:dyDescent="0.3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</row>
    <row r="697" spans="1:29" ht="14.25" customHeight="1" x14ac:dyDescent="0.3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</row>
    <row r="698" spans="1:29" ht="14.25" customHeight="1" x14ac:dyDescent="0.3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</row>
    <row r="699" spans="1:29" ht="14.25" customHeight="1" x14ac:dyDescent="0.3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</row>
    <row r="700" spans="1:29" ht="14.25" customHeight="1" x14ac:dyDescent="0.3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</row>
    <row r="701" spans="1:29" ht="14.25" customHeight="1" x14ac:dyDescent="0.3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</row>
    <row r="702" spans="1:29" ht="14.25" customHeight="1" x14ac:dyDescent="0.3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</row>
    <row r="703" spans="1:29" ht="14.25" customHeight="1" x14ac:dyDescent="0.3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</row>
    <row r="704" spans="1:29" ht="14.25" customHeight="1" x14ac:dyDescent="0.3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</row>
    <row r="705" spans="1:29" ht="14.25" customHeight="1" x14ac:dyDescent="0.3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</row>
    <row r="706" spans="1:29" ht="14.25" customHeight="1" x14ac:dyDescent="0.3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</row>
    <row r="707" spans="1:29" ht="14.25" customHeight="1" x14ac:dyDescent="0.3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</row>
    <row r="708" spans="1:29" ht="14.25" customHeight="1" x14ac:dyDescent="0.3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</row>
    <row r="709" spans="1:29" ht="14.25" customHeight="1" x14ac:dyDescent="0.3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</row>
    <row r="710" spans="1:29" ht="14.25" customHeight="1" x14ac:dyDescent="0.3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</row>
    <row r="711" spans="1:29" ht="14.25" customHeight="1" x14ac:dyDescent="0.3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</row>
    <row r="712" spans="1:29" ht="14.25" customHeight="1" x14ac:dyDescent="0.3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</row>
    <row r="713" spans="1:29" ht="14.25" customHeight="1" x14ac:dyDescent="0.3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</row>
    <row r="714" spans="1:29" ht="14.25" customHeight="1" x14ac:dyDescent="0.3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</row>
    <row r="715" spans="1:29" ht="14.25" customHeight="1" x14ac:dyDescent="0.3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</row>
    <row r="716" spans="1:29" ht="14.25" customHeight="1" x14ac:dyDescent="0.3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</row>
    <row r="717" spans="1:29" ht="14.25" customHeight="1" x14ac:dyDescent="0.3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</row>
    <row r="718" spans="1:29" ht="14.25" customHeight="1" x14ac:dyDescent="0.3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</row>
    <row r="719" spans="1:29" ht="14.25" customHeight="1" x14ac:dyDescent="0.3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</row>
    <row r="720" spans="1:29" ht="14.25" customHeight="1" x14ac:dyDescent="0.3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</row>
    <row r="721" spans="1:29" ht="14.25" customHeight="1" x14ac:dyDescent="0.3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</row>
    <row r="722" spans="1:29" ht="14.25" customHeight="1" x14ac:dyDescent="0.3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</row>
    <row r="723" spans="1:29" ht="14.25" customHeight="1" x14ac:dyDescent="0.3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</row>
    <row r="724" spans="1:29" ht="14.25" customHeight="1" x14ac:dyDescent="0.3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</row>
    <row r="725" spans="1:29" ht="14.25" customHeight="1" x14ac:dyDescent="0.3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</row>
    <row r="726" spans="1:29" ht="14.25" customHeight="1" x14ac:dyDescent="0.3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</row>
    <row r="727" spans="1:29" ht="14.25" customHeight="1" x14ac:dyDescent="0.3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</row>
    <row r="728" spans="1:29" ht="14.25" customHeight="1" x14ac:dyDescent="0.3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</row>
    <row r="729" spans="1:29" ht="14.25" customHeight="1" x14ac:dyDescent="0.3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</row>
    <row r="730" spans="1:29" ht="14.25" customHeight="1" x14ac:dyDescent="0.3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</row>
    <row r="731" spans="1:29" ht="14.25" customHeight="1" x14ac:dyDescent="0.3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</row>
    <row r="732" spans="1:29" ht="14.25" customHeight="1" x14ac:dyDescent="0.3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</row>
    <row r="733" spans="1:29" ht="14.25" customHeight="1" x14ac:dyDescent="0.3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</row>
    <row r="734" spans="1:29" ht="14.25" customHeight="1" x14ac:dyDescent="0.3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</row>
    <row r="735" spans="1:29" ht="14.25" customHeight="1" x14ac:dyDescent="0.3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</row>
    <row r="736" spans="1:29" ht="14.25" customHeight="1" x14ac:dyDescent="0.3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</row>
    <row r="737" spans="1:29" ht="14.25" customHeight="1" x14ac:dyDescent="0.3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</row>
    <row r="738" spans="1:29" ht="14.25" customHeight="1" x14ac:dyDescent="0.3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</row>
    <row r="739" spans="1:29" ht="14.25" customHeight="1" x14ac:dyDescent="0.3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</row>
    <row r="740" spans="1:29" ht="14.25" customHeight="1" x14ac:dyDescent="0.3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</row>
    <row r="741" spans="1:29" ht="14.25" customHeight="1" x14ac:dyDescent="0.3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</row>
    <row r="742" spans="1:29" ht="14.25" customHeight="1" x14ac:dyDescent="0.3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</row>
    <row r="743" spans="1:29" ht="14.25" customHeight="1" x14ac:dyDescent="0.3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</row>
    <row r="744" spans="1:29" ht="14.25" customHeight="1" x14ac:dyDescent="0.3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</row>
    <row r="745" spans="1:29" ht="14.25" customHeight="1" x14ac:dyDescent="0.3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</row>
    <row r="746" spans="1:29" ht="14.25" customHeight="1" x14ac:dyDescent="0.3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</row>
    <row r="747" spans="1:29" ht="14.25" customHeight="1" x14ac:dyDescent="0.3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</row>
    <row r="748" spans="1:29" ht="14.25" customHeight="1" x14ac:dyDescent="0.3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</row>
    <row r="749" spans="1:29" ht="14.25" customHeight="1" x14ac:dyDescent="0.3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</row>
    <row r="750" spans="1:29" ht="14.25" customHeight="1" x14ac:dyDescent="0.3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</row>
    <row r="751" spans="1:29" ht="14.25" customHeight="1" x14ac:dyDescent="0.3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</row>
    <row r="752" spans="1:29" ht="14.25" customHeight="1" x14ac:dyDescent="0.3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</row>
    <row r="753" spans="1:29" ht="14.25" customHeight="1" x14ac:dyDescent="0.3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</row>
    <row r="754" spans="1:29" ht="14.25" customHeight="1" x14ac:dyDescent="0.3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</row>
    <row r="755" spans="1:29" ht="14.25" customHeight="1" x14ac:dyDescent="0.3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</row>
    <row r="756" spans="1:29" ht="14.25" customHeight="1" x14ac:dyDescent="0.3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</row>
    <row r="757" spans="1:29" ht="14.25" customHeight="1" x14ac:dyDescent="0.3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</row>
    <row r="758" spans="1:29" ht="14.25" customHeight="1" x14ac:dyDescent="0.3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</row>
    <row r="759" spans="1:29" ht="14.25" customHeight="1" x14ac:dyDescent="0.3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</row>
    <row r="760" spans="1:29" ht="14.25" customHeight="1" x14ac:dyDescent="0.3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</row>
    <row r="761" spans="1:29" ht="14.25" customHeight="1" x14ac:dyDescent="0.3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</row>
    <row r="762" spans="1:29" ht="14.25" customHeight="1" x14ac:dyDescent="0.3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</row>
    <row r="763" spans="1:29" ht="14.25" customHeight="1" x14ac:dyDescent="0.3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</row>
    <row r="764" spans="1:29" ht="14.25" customHeight="1" x14ac:dyDescent="0.3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</row>
    <row r="765" spans="1:29" ht="14.25" customHeight="1" x14ac:dyDescent="0.3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</row>
    <row r="766" spans="1:29" ht="14.25" customHeight="1" x14ac:dyDescent="0.3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</row>
    <row r="767" spans="1:29" ht="14.25" customHeight="1" x14ac:dyDescent="0.3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</row>
    <row r="768" spans="1:29" ht="14.25" customHeight="1" x14ac:dyDescent="0.3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</row>
    <row r="769" spans="1:29" ht="14.25" customHeight="1" x14ac:dyDescent="0.3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</row>
    <row r="770" spans="1:29" ht="14.25" customHeight="1" x14ac:dyDescent="0.3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</row>
    <row r="771" spans="1:29" ht="14.25" customHeight="1" x14ac:dyDescent="0.3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</row>
    <row r="772" spans="1:29" ht="14.25" customHeight="1" x14ac:dyDescent="0.3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</row>
    <row r="773" spans="1:29" ht="14.25" customHeight="1" x14ac:dyDescent="0.3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</row>
    <row r="774" spans="1:29" ht="14.25" customHeight="1" x14ac:dyDescent="0.3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</row>
    <row r="775" spans="1:29" ht="14.25" customHeight="1" x14ac:dyDescent="0.3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</row>
    <row r="776" spans="1:29" ht="14.25" customHeight="1" x14ac:dyDescent="0.3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</row>
    <row r="777" spans="1:29" ht="14.25" customHeight="1" x14ac:dyDescent="0.3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</row>
    <row r="778" spans="1:29" ht="14.25" customHeight="1" x14ac:dyDescent="0.3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</row>
    <row r="779" spans="1:29" ht="14.25" customHeight="1" x14ac:dyDescent="0.3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</row>
    <row r="780" spans="1:29" ht="14.25" customHeight="1" x14ac:dyDescent="0.3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</row>
    <row r="781" spans="1:29" ht="14.25" customHeight="1" x14ac:dyDescent="0.3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</row>
    <row r="782" spans="1:29" ht="14.25" customHeight="1" x14ac:dyDescent="0.3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</row>
    <row r="783" spans="1:29" ht="14.25" customHeight="1" x14ac:dyDescent="0.3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</row>
    <row r="784" spans="1:29" ht="14.25" customHeight="1" x14ac:dyDescent="0.3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</row>
    <row r="785" spans="1:29" ht="14.25" customHeight="1" x14ac:dyDescent="0.3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</row>
    <row r="786" spans="1:29" ht="14.25" customHeight="1" x14ac:dyDescent="0.3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</row>
    <row r="787" spans="1:29" ht="14.25" customHeight="1" x14ac:dyDescent="0.3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</row>
    <row r="788" spans="1:29" ht="14.25" customHeight="1" x14ac:dyDescent="0.3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</row>
    <row r="789" spans="1:29" ht="14.25" customHeight="1" x14ac:dyDescent="0.3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</row>
    <row r="790" spans="1:29" ht="14.25" customHeight="1" x14ac:dyDescent="0.3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</row>
    <row r="791" spans="1:29" ht="14.25" customHeight="1" x14ac:dyDescent="0.3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</row>
    <row r="792" spans="1:29" ht="14.25" customHeight="1" x14ac:dyDescent="0.3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</row>
    <row r="793" spans="1:29" ht="14.25" customHeight="1" x14ac:dyDescent="0.3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</row>
    <row r="794" spans="1:29" ht="14.25" customHeight="1" x14ac:dyDescent="0.3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</row>
    <row r="795" spans="1:29" ht="14.25" customHeight="1" x14ac:dyDescent="0.3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</row>
    <row r="796" spans="1:29" ht="14.25" customHeight="1" x14ac:dyDescent="0.3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</row>
    <row r="797" spans="1:29" ht="14.25" customHeight="1" x14ac:dyDescent="0.3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</row>
    <row r="798" spans="1:29" ht="14.25" customHeight="1" x14ac:dyDescent="0.3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</row>
    <row r="799" spans="1:29" ht="14.25" customHeight="1" x14ac:dyDescent="0.3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</row>
    <row r="800" spans="1:29" ht="14.25" customHeight="1" x14ac:dyDescent="0.3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</row>
    <row r="801" spans="1:29" ht="14.25" customHeight="1" x14ac:dyDescent="0.3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</row>
    <row r="802" spans="1:29" ht="14.25" customHeight="1" x14ac:dyDescent="0.3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</row>
    <row r="803" spans="1:29" ht="14.25" customHeight="1" x14ac:dyDescent="0.3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</row>
    <row r="804" spans="1:29" ht="14.25" customHeight="1" x14ac:dyDescent="0.3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</row>
    <row r="805" spans="1:29" ht="14.25" customHeight="1" x14ac:dyDescent="0.3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</row>
    <row r="806" spans="1:29" ht="14.25" customHeight="1" x14ac:dyDescent="0.3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</row>
    <row r="807" spans="1:29" ht="14.25" customHeight="1" x14ac:dyDescent="0.3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</row>
    <row r="808" spans="1:29" ht="14.25" customHeight="1" x14ac:dyDescent="0.3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</row>
    <row r="809" spans="1:29" ht="14.25" customHeight="1" x14ac:dyDescent="0.3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</row>
    <row r="810" spans="1:29" ht="14.25" customHeight="1" x14ac:dyDescent="0.3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</row>
    <row r="811" spans="1:29" ht="14.25" customHeight="1" x14ac:dyDescent="0.3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</row>
    <row r="812" spans="1:29" ht="14.25" customHeight="1" x14ac:dyDescent="0.3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</row>
    <row r="813" spans="1:29" ht="14.25" customHeight="1" x14ac:dyDescent="0.3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</row>
    <row r="814" spans="1:29" ht="14.25" customHeight="1" x14ac:dyDescent="0.3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</row>
    <row r="815" spans="1:29" ht="14.25" customHeight="1" x14ac:dyDescent="0.3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</row>
    <row r="816" spans="1:29" ht="14.25" customHeight="1" x14ac:dyDescent="0.3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</row>
    <row r="817" spans="1:29" ht="14.25" customHeight="1" x14ac:dyDescent="0.3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</row>
    <row r="818" spans="1:29" ht="14.25" customHeight="1" x14ac:dyDescent="0.3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</row>
    <row r="819" spans="1:29" ht="14.25" customHeight="1" x14ac:dyDescent="0.3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</row>
    <row r="820" spans="1:29" ht="14.25" customHeight="1" x14ac:dyDescent="0.3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</row>
    <row r="821" spans="1:29" ht="14.25" customHeight="1" x14ac:dyDescent="0.3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</row>
    <row r="822" spans="1:29" ht="14.25" customHeight="1" x14ac:dyDescent="0.3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</row>
    <row r="823" spans="1:29" ht="14.25" customHeight="1" x14ac:dyDescent="0.3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</row>
    <row r="824" spans="1:29" ht="14.25" customHeight="1" x14ac:dyDescent="0.3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</row>
    <row r="825" spans="1:29" ht="14.25" customHeight="1" x14ac:dyDescent="0.3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</row>
    <row r="826" spans="1:29" ht="14.25" customHeight="1" x14ac:dyDescent="0.3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</row>
    <row r="827" spans="1:29" ht="14.25" customHeight="1" x14ac:dyDescent="0.3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</row>
    <row r="828" spans="1:29" ht="14.25" customHeight="1" x14ac:dyDescent="0.3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</row>
    <row r="829" spans="1:29" ht="14.25" customHeight="1" x14ac:dyDescent="0.3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</row>
    <row r="830" spans="1:29" ht="14.25" customHeight="1" x14ac:dyDescent="0.3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</row>
    <row r="831" spans="1:29" ht="14.25" customHeight="1" x14ac:dyDescent="0.3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</row>
    <row r="832" spans="1:29" ht="14.25" customHeight="1" x14ac:dyDescent="0.3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</row>
    <row r="833" spans="1:29" ht="14.25" customHeight="1" x14ac:dyDescent="0.3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</row>
    <row r="834" spans="1:29" ht="14.25" customHeight="1" x14ac:dyDescent="0.3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</row>
    <row r="835" spans="1:29" ht="14.25" customHeight="1" x14ac:dyDescent="0.3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</row>
    <row r="836" spans="1:29" ht="14.25" customHeight="1" x14ac:dyDescent="0.3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</row>
    <row r="837" spans="1:29" ht="14.25" customHeight="1" x14ac:dyDescent="0.3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</row>
    <row r="838" spans="1:29" ht="14.25" customHeight="1" x14ac:dyDescent="0.3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</row>
    <row r="839" spans="1:29" ht="14.25" customHeight="1" x14ac:dyDescent="0.3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</row>
    <row r="840" spans="1:29" ht="14.25" customHeight="1" x14ac:dyDescent="0.3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</row>
    <row r="841" spans="1:29" ht="14.25" customHeight="1" x14ac:dyDescent="0.3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</row>
    <row r="842" spans="1:29" ht="14.25" customHeight="1" x14ac:dyDescent="0.3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</row>
    <row r="843" spans="1:29" ht="14.25" customHeight="1" x14ac:dyDescent="0.3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</row>
    <row r="844" spans="1:29" ht="14.25" customHeight="1" x14ac:dyDescent="0.3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</row>
    <row r="845" spans="1:29" ht="14.25" customHeight="1" x14ac:dyDescent="0.3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</row>
    <row r="846" spans="1:29" ht="14.25" customHeight="1" x14ac:dyDescent="0.3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</row>
    <row r="847" spans="1:29" ht="14.25" customHeight="1" x14ac:dyDescent="0.3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</row>
    <row r="848" spans="1:29" ht="14.25" customHeight="1" x14ac:dyDescent="0.3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</row>
    <row r="849" spans="1:29" ht="14.25" customHeight="1" x14ac:dyDescent="0.3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</row>
    <row r="850" spans="1:29" ht="14.25" customHeight="1" x14ac:dyDescent="0.3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</row>
    <row r="851" spans="1:29" ht="14.25" customHeight="1" x14ac:dyDescent="0.3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</row>
    <row r="852" spans="1:29" ht="14.25" customHeight="1" x14ac:dyDescent="0.3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</row>
    <row r="853" spans="1:29" ht="14.25" customHeight="1" x14ac:dyDescent="0.3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</row>
    <row r="854" spans="1:29" ht="14.25" customHeight="1" x14ac:dyDescent="0.3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</row>
    <row r="855" spans="1:29" ht="14.25" customHeight="1" x14ac:dyDescent="0.3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</row>
    <row r="856" spans="1:29" ht="14.25" customHeight="1" x14ac:dyDescent="0.3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</row>
    <row r="857" spans="1:29" ht="14.25" customHeight="1" x14ac:dyDescent="0.3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</row>
    <row r="858" spans="1:29" ht="14.25" customHeight="1" x14ac:dyDescent="0.3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</row>
    <row r="859" spans="1:29" ht="14.25" customHeight="1" x14ac:dyDescent="0.3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</row>
    <row r="860" spans="1:29" ht="14.25" customHeight="1" x14ac:dyDescent="0.3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</row>
    <row r="861" spans="1:29" ht="14.25" customHeight="1" x14ac:dyDescent="0.3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</row>
    <row r="862" spans="1:29" ht="14.25" customHeight="1" x14ac:dyDescent="0.3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</row>
    <row r="863" spans="1:29" ht="14.25" customHeight="1" x14ac:dyDescent="0.3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</row>
    <row r="864" spans="1:29" ht="14.25" customHeight="1" x14ac:dyDescent="0.3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</row>
    <row r="865" spans="1:29" ht="14.25" customHeight="1" x14ac:dyDescent="0.3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</row>
    <row r="866" spans="1:29" ht="14.25" customHeight="1" x14ac:dyDescent="0.3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</row>
    <row r="867" spans="1:29" ht="14.25" customHeight="1" x14ac:dyDescent="0.3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</row>
    <row r="868" spans="1:29" ht="14.25" customHeight="1" x14ac:dyDescent="0.3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</row>
    <row r="869" spans="1:29" ht="14.25" customHeight="1" x14ac:dyDescent="0.3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</row>
    <row r="870" spans="1:29" ht="14.25" customHeight="1" x14ac:dyDescent="0.3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</row>
    <row r="871" spans="1:29" ht="14.25" customHeight="1" x14ac:dyDescent="0.3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</row>
    <row r="872" spans="1:29" ht="14.25" customHeight="1" x14ac:dyDescent="0.3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</row>
    <row r="873" spans="1:29" ht="14.25" customHeight="1" x14ac:dyDescent="0.3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</row>
    <row r="874" spans="1:29" ht="14.25" customHeight="1" x14ac:dyDescent="0.3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</row>
    <row r="875" spans="1:29" ht="14.25" customHeight="1" x14ac:dyDescent="0.3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</row>
    <row r="876" spans="1:29" ht="14.25" customHeight="1" x14ac:dyDescent="0.3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</row>
    <row r="877" spans="1:29" ht="14.25" customHeight="1" x14ac:dyDescent="0.3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</row>
    <row r="878" spans="1:29" ht="14.25" customHeight="1" x14ac:dyDescent="0.3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</row>
    <row r="879" spans="1:29" ht="14.25" customHeight="1" x14ac:dyDescent="0.3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</row>
    <row r="880" spans="1:29" ht="14.25" customHeight="1" x14ac:dyDescent="0.3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</row>
    <row r="881" spans="1:29" ht="14.25" customHeight="1" x14ac:dyDescent="0.3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</row>
    <row r="882" spans="1:29" ht="14.25" customHeight="1" x14ac:dyDescent="0.3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</row>
    <row r="883" spans="1:29" ht="14.25" customHeight="1" x14ac:dyDescent="0.3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</row>
    <row r="884" spans="1:29" ht="14.25" customHeight="1" x14ac:dyDescent="0.3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</row>
    <row r="885" spans="1:29" ht="14.25" customHeight="1" x14ac:dyDescent="0.3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</row>
    <row r="886" spans="1:29" ht="14.25" customHeight="1" x14ac:dyDescent="0.3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</row>
    <row r="887" spans="1:29" ht="14.25" customHeight="1" x14ac:dyDescent="0.3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</row>
    <row r="888" spans="1:29" ht="14.25" customHeight="1" x14ac:dyDescent="0.3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</row>
    <row r="889" spans="1:29" ht="14.25" customHeight="1" x14ac:dyDescent="0.3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</row>
    <row r="890" spans="1:29" ht="14.25" customHeight="1" x14ac:dyDescent="0.3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</row>
    <row r="891" spans="1:29" ht="14.25" customHeight="1" x14ac:dyDescent="0.3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</row>
    <row r="892" spans="1:29" ht="14.25" customHeight="1" x14ac:dyDescent="0.3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</row>
    <row r="893" spans="1:29" ht="14.25" customHeight="1" x14ac:dyDescent="0.3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</row>
    <row r="894" spans="1:29" ht="14.25" customHeight="1" x14ac:dyDescent="0.3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</row>
    <row r="895" spans="1:29" ht="14.25" customHeight="1" x14ac:dyDescent="0.3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</row>
    <row r="896" spans="1:29" ht="14.25" customHeight="1" x14ac:dyDescent="0.3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</row>
    <row r="897" spans="1:29" ht="14.25" customHeight="1" x14ac:dyDescent="0.3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</row>
    <row r="898" spans="1:29" ht="14.25" customHeight="1" x14ac:dyDescent="0.3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</row>
    <row r="899" spans="1:29" ht="14.25" customHeight="1" x14ac:dyDescent="0.3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</row>
    <row r="900" spans="1:29" ht="14.25" customHeight="1" x14ac:dyDescent="0.3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</row>
    <row r="901" spans="1:29" ht="14.25" customHeight="1" x14ac:dyDescent="0.3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</row>
    <row r="902" spans="1:29" ht="14.25" customHeight="1" x14ac:dyDescent="0.3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</row>
    <row r="903" spans="1:29" ht="14.25" customHeight="1" x14ac:dyDescent="0.3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</row>
    <row r="904" spans="1:29" ht="14.25" customHeight="1" x14ac:dyDescent="0.3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</row>
    <row r="905" spans="1:29" ht="14.25" customHeight="1" x14ac:dyDescent="0.3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</row>
    <row r="906" spans="1:29" ht="14.25" customHeight="1" x14ac:dyDescent="0.3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</row>
    <row r="907" spans="1:29" ht="14.25" customHeight="1" x14ac:dyDescent="0.3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</row>
    <row r="908" spans="1:29" ht="14.25" customHeight="1" x14ac:dyDescent="0.3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</row>
    <row r="909" spans="1:29" ht="14.25" customHeight="1" x14ac:dyDescent="0.3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</row>
    <row r="910" spans="1:29" ht="14.25" customHeight="1" x14ac:dyDescent="0.3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</row>
    <row r="911" spans="1:29" ht="14.25" customHeight="1" x14ac:dyDescent="0.3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</row>
    <row r="912" spans="1:29" ht="14.25" customHeight="1" x14ac:dyDescent="0.3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</row>
    <row r="913" spans="1:29" ht="14.25" customHeight="1" x14ac:dyDescent="0.3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</row>
    <row r="914" spans="1:29" ht="14.25" customHeight="1" x14ac:dyDescent="0.3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</row>
    <row r="915" spans="1:29" ht="14.25" customHeight="1" x14ac:dyDescent="0.3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</row>
    <row r="916" spans="1:29" ht="14.25" customHeight="1" x14ac:dyDescent="0.3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</row>
    <row r="917" spans="1:29" ht="14.25" customHeight="1" x14ac:dyDescent="0.3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</row>
    <row r="918" spans="1:29" ht="14.25" customHeight="1" x14ac:dyDescent="0.3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</row>
    <row r="919" spans="1:29" ht="14.25" customHeight="1" x14ac:dyDescent="0.3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</row>
    <row r="920" spans="1:29" ht="14.25" customHeight="1" x14ac:dyDescent="0.3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</row>
    <row r="921" spans="1:29" ht="14.25" customHeight="1" x14ac:dyDescent="0.3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</row>
    <row r="922" spans="1:29" ht="14.25" customHeight="1" x14ac:dyDescent="0.3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</row>
    <row r="923" spans="1:29" ht="14.25" customHeight="1" x14ac:dyDescent="0.3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</row>
    <row r="924" spans="1:29" ht="14.25" customHeight="1" x14ac:dyDescent="0.3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</row>
    <row r="925" spans="1:29" ht="14.25" customHeight="1" x14ac:dyDescent="0.3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</row>
    <row r="926" spans="1:29" ht="14.25" customHeight="1" x14ac:dyDescent="0.3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</row>
    <row r="927" spans="1:29" ht="14.25" customHeight="1" x14ac:dyDescent="0.3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</row>
    <row r="928" spans="1:29" ht="14.25" customHeight="1" x14ac:dyDescent="0.3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</row>
    <row r="929" spans="1:29" ht="14.25" customHeight="1" x14ac:dyDescent="0.3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</row>
    <row r="930" spans="1:29" ht="14.25" customHeight="1" x14ac:dyDescent="0.3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</row>
    <row r="931" spans="1:29" ht="14.25" customHeight="1" x14ac:dyDescent="0.3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</row>
    <row r="932" spans="1:29" ht="14.25" customHeight="1" x14ac:dyDescent="0.3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</row>
    <row r="933" spans="1:29" ht="14.25" customHeight="1" x14ac:dyDescent="0.3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</row>
    <row r="934" spans="1:29" ht="14.25" customHeight="1" x14ac:dyDescent="0.3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</row>
    <row r="935" spans="1:29" ht="14.25" customHeight="1" x14ac:dyDescent="0.3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</row>
    <row r="936" spans="1:29" ht="14.25" customHeight="1" x14ac:dyDescent="0.3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</row>
    <row r="937" spans="1:29" ht="14.25" customHeight="1" x14ac:dyDescent="0.3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</row>
    <row r="938" spans="1:29" ht="14.25" customHeight="1" x14ac:dyDescent="0.3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</row>
    <row r="939" spans="1:29" ht="14.25" customHeight="1" x14ac:dyDescent="0.3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</row>
    <row r="940" spans="1:29" ht="14.25" customHeight="1" x14ac:dyDescent="0.3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</row>
    <row r="941" spans="1:29" ht="14.25" customHeight="1" x14ac:dyDescent="0.3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</row>
    <row r="942" spans="1:29" ht="14.25" customHeight="1" x14ac:dyDescent="0.3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</row>
    <row r="943" spans="1:29" ht="14.25" customHeight="1" x14ac:dyDescent="0.3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</row>
    <row r="944" spans="1:29" ht="14.25" customHeight="1" x14ac:dyDescent="0.3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</row>
    <row r="945" spans="1:29" ht="14.25" customHeight="1" x14ac:dyDescent="0.3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</row>
    <row r="946" spans="1:29" ht="14.25" customHeight="1" x14ac:dyDescent="0.3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</row>
    <row r="947" spans="1:29" ht="14.25" customHeight="1" x14ac:dyDescent="0.3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</row>
    <row r="948" spans="1:29" ht="14.25" customHeight="1" x14ac:dyDescent="0.3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</row>
    <row r="949" spans="1:29" ht="14.25" customHeight="1" x14ac:dyDescent="0.3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</row>
    <row r="950" spans="1:29" ht="14.25" customHeight="1" x14ac:dyDescent="0.3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</row>
    <row r="951" spans="1:29" ht="14.25" customHeight="1" x14ac:dyDescent="0.3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  <c r="AA951" s="109"/>
      <c r="AB951" s="109"/>
      <c r="AC951" s="109"/>
    </row>
    <row r="952" spans="1:29" ht="14.25" customHeight="1" x14ac:dyDescent="0.3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  <c r="AB952" s="109"/>
      <c r="AC952" s="109"/>
    </row>
    <row r="953" spans="1:29" ht="14.25" customHeight="1" x14ac:dyDescent="0.3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</row>
    <row r="954" spans="1:29" ht="14.25" customHeight="1" x14ac:dyDescent="0.3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</row>
    <row r="955" spans="1:29" ht="14.25" customHeight="1" x14ac:dyDescent="0.3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</row>
    <row r="956" spans="1:29" ht="14.25" customHeight="1" x14ac:dyDescent="0.3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</row>
    <row r="957" spans="1:29" ht="14.25" customHeight="1" x14ac:dyDescent="0.3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</row>
    <row r="958" spans="1:29" ht="14.25" customHeight="1" x14ac:dyDescent="0.3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09"/>
      <c r="AC958" s="109"/>
    </row>
    <row r="959" spans="1:29" ht="14.25" customHeight="1" x14ac:dyDescent="0.3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</row>
    <row r="960" spans="1:29" ht="14.25" customHeight="1" x14ac:dyDescent="0.3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</row>
    <row r="961" spans="1:29" ht="14.25" customHeight="1" x14ac:dyDescent="0.3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</row>
    <row r="962" spans="1:29" ht="14.25" customHeight="1" x14ac:dyDescent="0.3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</row>
    <row r="963" spans="1:29" ht="14.25" customHeight="1" x14ac:dyDescent="0.3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</row>
    <row r="964" spans="1:29" ht="14.25" customHeight="1" x14ac:dyDescent="0.3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</row>
    <row r="965" spans="1:29" ht="14.25" customHeight="1" x14ac:dyDescent="0.3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</row>
    <row r="966" spans="1:29" ht="14.25" customHeight="1" x14ac:dyDescent="0.3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</row>
    <row r="967" spans="1:29" ht="14.25" customHeight="1" x14ac:dyDescent="0.3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</row>
    <row r="968" spans="1:29" ht="14.25" customHeight="1" x14ac:dyDescent="0.3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</row>
    <row r="969" spans="1:29" ht="14.25" customHeight="1" x14ac:dyDescent="0.3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09"/>
      <c r="AC969" s="109"/>
    </row>
    <row r="970" spans="1:29" ht="14.25" customHeight="1" x14ac:dyDescent="0.3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</row>
    <row r="971" spans="1:29" ht="14.25" customHeight="1" x14ac:dyDescent="0.3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</row>
    <row r="972" spans="1:29" ht="14.25" customHeight="1" x14ac:dyDescent="0.3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</row>
    <row r="973" spans="1:29" ht="14.25" customHeight="1" x14ac:dyDescent="0.3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</row>
    <row r="974" spans="1:29" ht="14.25" customHeight="1" x14ac:dyDescent="0.3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</row>
    <row r="975" spans="1:29" ht="14.25" customHeight="1" x14ac:dyDescent="0.3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</row>
    <row r="976" spans="1:29" ht="14.25" customHeight="1" x14ac:dyDescent="0.3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</row>
    <row r="977" spans="1:29" ht="14.25" customHeight="1" x14ac:dyDescent="0.3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</row>
    <row r="978" spans="1:29" ht="14.25" customHeight="1" x14ac:dyDescent="0.3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</row>
    <row r="979" spans="1:29" ht="14.25" customHeight="1" x14ac:dyDescent="0.3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</row>
    <row r="980" spans="1:29" ht="14.25" customHeight="1" x14ac:dyDescent="0.3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</row>
    <row r="981" spans="1:29" ht="14.25" customHeight="1" x14ac:dyDescent="0.3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</row>
    <row r="982" spans="1:29" ht="14.25" customHeight="1" x14ac:dyDescent="0.3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</row>
    <row r="983" spans="1:29" ht="14.25" customHeight="1" x14ac:dyDescent="0.3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</row>
    <row r="984" spans="1:29" ht="14.25" customHeight="1" x14ac:dyDescent="0.3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</row>
    <row r="985" spans="1:29" ht="14.25" customHeight="1" x14ac:dyDescent="0.3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</row>
    <row r="986" spans="1:29" ht="14" x14ac:dyDescent="0.3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</row>
    <row r="987" spans="1:29" ht="14" x14ac:dyDescent="0.3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</row>
    <row r="988" spans="1:29" ht="14" x14ac:dyDescent="0.3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</row>
    <row r="989" spans="1:29" ht="14" x14ac:dyDescent="0.3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</row>
    <row r="990" spans="1:29" ht="14" x14ac:dyDescent="0.3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</row>
  </sheetData>
  <mergeCells count="36">
    <mergeCell ref="AA2:AA3"/>
    <mergeCell ref="A1:A3"/>
    <mergeCell ref="B1:B3"/>
    <mergeCell ref="C1:M1"/>
    <mergeCell ref="N1:AB1"/>
    <mergeCell ref="K2:K3"/>
    <mergeCell ref="L2:M2"/>
    <mergeCell ref="V2:V3"/>
    <mergeCell ref="W2:W3"/>
    <mergeCell ref="X2:X3"/>
    <mergeCell ref="AC1:AC3"/>
    <mergeCell ref="C2:C3"/>
    <mergeCell ref="D2:D3"/>
    <mergeCell ref="AB2:AB3"/>
    <mergeCell ref="E2:E3"/>
    <mergeCell ref="F2:F3"/>
    <mergeCell ref="G2:G3"/>
    <mergeCell ref="H2:H3"/>
    <mergeCell ref="I2:I3"/>
    <mergeCell ref="J2:J3"/>
    <mergeCell ref="N2:N3"/>
    <mergeCell ref="O2:O3"/>
    <mergeCell ref="T2:T3"/>
    <mergeCell ref="U2:U3"/>
    <mergeCell ref="Y2:Y3"/>
    <mergeCell ref="Z2:Z3"/>
    <mergeCell ref="M40:O40"/>
    <mergeCell ref="P2:P3"/>
    <mergeCell ref="Q2:Q3"/>
    <mergeCell ref="R2:R3"/>
    <mergeCell ref="S2:S3"/>
    <mergeCell ref="J31:O31"/>
    <mergeCell ref="M32:O32"/>
    <mergeCell ref="M33:O35"/>
    <mergeCell ref="M36:O38"/>
    <mergeCell ref="M39:O39"/>
  </mergeCells>
  <pageMargins left="0.7" right="0.7" top="0.75" bottom="0.75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4A86E8"/>
  </sheetPr>
  <dimension ref="A1:AC990"/>
  <sheetViews>
    <sheetView topLeftCell="A7" zoomScale="95" zoomScaleNormal="95" workbookViewId="0">
      <selection activeCell="J8" sqref="J8"/>
    </sheetView>
  </sheetViews>
  <sheetFormatPr defaultColWidth="12.58203125" defaultRowHeight="15" customHeight="1" x14ac:dyDescent="0.3"/>
  <cols>
    <col min="1" max="1" width="4.75" customWidth="1"/>
    <col min="2" max="2" width="19.58203125" customWidth="1"/>
    <col min="3" max="3" width="10.83203125" customWidth="1"/>
    <col min="4" max="4" width="9.25" customWidth="1"/>
    <col min="5" max="5" width="7.58203125" customWidth="1"/>
    <col min="6" max="6" width="12.83203125" customWidth="1"/>
    <col min="7" max="7" width="9.75" customWidth="1"/>
    <col min="8" max="9" width="7.58203125" customWidth="1"/>
    <col min="10" max="10" width="12.08203125" customWidth="1"/>
    <col min="11" max="11" width="7.58203125" customWidth="1"/>
    <col min="12" max="12" width="10.83203125" customWidth="1"/>
    <col min="13" max="13" width="7.58203125" customWidth="1"/>
    <col min="14" max="14" width="12.5" customWidth="1"/>
    <col min="15" max="15" width="11.08203125" customWidth="1"/>
    <col min="16" max="16" width="11.83203125" customWidth="1"/>
    <col min="17" max="17" width="13.5" customWidth="1"/>
    <col min="18" max="18" width="9.08203125" customWidth="1"/>
    <col min="19" max="19" width="7.58203125" customWidth="1"/>
    <col min="20" max="20" width="18.75" customWidth="1"/>
    <col min="21" max="21" width="10.33203125" customWidth="1"/>
    <col min="22" max="22" width="8.5" customWidth="1"/>
    <col min="23" max="23" width="10.75" customWidth="1"/>
    <col min="24" max="24" width="11.75" customWidth="1"/>
    <col min="25" max="25" width="7.58203125" customWidth="1"/>
    <col min="26" max="26" width="21.33203125" customWidth="1"/>
    <col min="27" max="27" width="8.33203125" customWidth="1"/>
    <col min="28" max="28" width="8.58203125" customWidth="1"/>
    <col min="29" max="29" width="16.58203125" customWidth="1"/>
  </cols>
  <sheetData>
    <row r="1" spans="1:29" ht="14.25" customHeight="1" x14ac:dyDescent="0.3">
      <c r="A1" s="388" t="s">
        <v>0</v>
      </c>
      <c r="B1" s="391" t="s">
        <v>104</v>
      </c>
      <c r="C1" s="392" t="s">
        <v>3</v>
      </c>
      <c r="D1" s="371"/>
      <c r="E1" s="371"/>
      <c r="F1" s="371"/>
      <c r="G1" s="371"/>
      <c r="H1" s="371"/>
      <c r="I1" s="371"/>
      <c r="J1" s="371"/>
      <c r="K1" s="371"/>
      <c r="L1" s="371"/>
      <c r="M1" s="372"/>
      <c r="N1" s="393" t="s">
        <v>4</v>
      </c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2"/>
      <c r="AC1" s="386" t="s">
        <v>5</v>
      </c>
    </row>
    <row r="2" spans="1:29" ht="14.25" customHeight="1" x14ac:dyDescent="0.3">
      <c r="A2" s="389"/>
      <c r="B2" s="353"/>
      <c r="C2" s="387" t="s">
        <v>6</v>
      </c>
      <c r="D2" s="387" t="s">
        <v>7</v>
      </c>
      <c r="E2" s="387" t="s">
        <v>8</v>
      </c>
      <c r="F2" s="387" t="s">
        <v>9</v>
      </c>
      <c r="G2" s="387" t="s">
        <v>7</v>
      </c>
      <c r="H2" s="387" t="s">
        <v>8</v>
      </c>
      <c r="I2" s="387" t="s">
        <v>105</v>
      </c>
      <c r="J2" s="387" t="s">
        <v>7</v>
      </c>
      <c r="K2" s="387" t="s">
        <v>8</v>
      </c>
      <c r="L2" s="394" t="s">
        <v>11</v>
      </c>
      <c r="M2" s="372"/>
      <c r="N2" s="385" t="s">
        <v>12</v>
      </c>
      <c r="O2" s="385" t="s">
        <v>7</v>
      </c>
      <c r="P2" s="385" t="s">
        <v>8</v>
      </c>
      <c r="Q2" s="385" t="s">
        <v>13</v>
      </c>
      <c r="R2" s="385" t="s">
        <v>7</v>
      </c>
      <c r="S2" s="385" t="s">
        <v>8</v>
      </c>
      <c r="T2" s="385" t="s">
        <v>14</v>
      </c>
      <c r="U2" s="385" t="s">
        <v>7</v>
      </c>
      <c r="V2" s="385" t="s">
        <v>8</v>
      </c>
      <c r="W2" s="385" t="s">
        <v>15</v>
      </c>
      <c r="X2" s="385" t="s">
        <v>7</v>
      </c>
      <c r="Y2" s="385" t="s">
        <v>8</v>
      </c>
      <c r="Z2" s="385" t="s">
        <v>16</v>
      </c>
      <c r="AA2" s="385" t="s">
        <v>7</v>
      </c>
      <c r="AB2" s="385" t="s">
        <v>8</v>
      </c>
      <c r="AC2" s="353"/>
    </row>
    <row r="3" spans="1:29" ht="14.25" customHeight="1" x14ac:dyDescent="0.3">
      <c r="A3" s="390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75" t="s">
        <v>17</v>
      </c>
      <c r="M3" s="75" t="s">
        <v>8</v>
      </c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</row>
    <row r="4" spans="1:29" ht="14.25" customHeight="1" x14ac:dyDescent="0.3">
      <c r="A4" s="187">
        <v>1</v>
      </c>
      <c r="B4" s="77" t="s">
        <v>100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</row>
    <row r="5" spans="1:29" ht="14.25" customHeight="1" x14ac:dyDescent="0.3">
      <c r="A5" s="79"/>
      <c r="B5" s="79" t="s">
        <v>106</v>
      </c>
      <c r="C5" s="80" t="s">
        <v>107</v>
      </c>
      <c r="D5" s="111">
        <f>Utilitas!D5/Utilitas!C30</f>
        <v>1.095049968418018E-4</v>
      </c>
      <c r="E5" s="188" t="s">
        <v>199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</row>
    <row r="6" spans="1:29" ht="14.25" customHeight="1" x14ac:dyDescent="0.3">
      <c r="A6" s="79"/>
      <c r="B6" s="79" t="s">
        <v>108</v>
      </c>
      <c r="C6" s="80" t="s">
        <v>109</v>
      </c>
      <c r="D6" s="111">
        <f>Utilitas!D6/Utilitas!C30</f>
        <v>1.9087843472699963E-2</v>
      </c>
      <c r="E6" s="188" t="s">
        <v>209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0" t="s">
        <v>111</v>
      </c>
      <c r="R6" s="111">
        <f>Utilitas!R6/Utilitas!C30</f>
        <v>1.9087843472699963E-2</v>
      </c>
      <c r="S6" s="188" t="s">
        <v>209</v>
      </c>
      <c r="T6" s="78"/>
      <c r="U6" s="78"/>
      <c r="V6" s="78"/>
      <c r="W6" s="78"/>
      <c r="X6" s="78"/>
      <c r="Y6" s="78"/>
      <c r="Z6" s="80" t="s">
        <v>112</v>
      </c>
      <c r="AA6" s="111">
        <f>Utilitas!AA6/Utilitas!C30*1000</f>
        <v>3.8175686945399933E-4</v>
      </c>
      <c r="AB6" s="188" t="s">
        <v>203</v>
      </c>
      <c r="AC6" s="79"/>
    </row>
    <row r="7" spans="1:29" ht="14.25" customHeight="1" x14ac:dyDescent="0.3">
      <c r="A7" s="79"/>
      <c r="B7" s="79"/>
      <c r="C7" s="80" t="s">
        <v>113</v>
      </c>
      <c r="D7" s="111">
        <f>Utilitas!D7/Utilitas!C30</f>
        <v>3.8175686945399923E-5</v>
      </c>
      <c r="E7" s="188" t="s">
        <v>202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112"/>
      <c r="AB7" s="78"/>
      <c r="AC7" s="79"/>
    </row>
    <row r="8" spans="1:29" ht="14.25" customHeight="1" x14ac:dyDescent="0.3">
      <c r="A8" s="79"/>
      <c r="B8" s="79" t="s">
        <v>114</v>
      </c>
      <c r="C8" s="78"/>
      <c r="D8" s="85"/>
      <c r="E8" s="85"/>
      <c r="F8" s="80" t="s">
        <v>22</v>
      </c>
      <c r="G8" s="111">
        <f>(Utilitas!G8/Utilitas!C30)*0.88</f>
        <v>6.6825250072615507E-3</v>
      </c>
      <c r="H8" s="188" t="s">
        <v>203</v>
      </c>
      <c r="I8" s="78"/>
      <c r="J8" s="78"/>
      <c r="K8" s="78"/>
      <c r="L8" s="78"/>
      <c r="M8" s="78"/>
      <c r="N8" s="87" t="s">
        <v>24</v>
      </c>
      <c r="O8" s="111">
        <f>Utilitas!O8/Utilitas!C30*1000</f>
        <v>3.4084522550674234E-5</v>
      </c>
      <c r="P8" s="20" t="s">
        <v>205</v>
      </c>
      <c r="Q8" s="78"/>
      <c r="R8" s="78"/>
      <c r="S8" s="78"/>
      <c r="T8" s="78"/>
      <c r="U8" s="78"/>
      <c r="V8" s="78"/>
      <c r="W8" s="78"/>
      <c r="X8" s="78"/>
      <c r="Y8" s="78"/>
      <c r="Z8" s="78"/>
      <c r="AA8" s="112"/>
      <c r="AB8" s="78"/>
      <c r="AC8" s="79"/>
    </row>
    <row r="9" spans="1:29" ht="14.25" customHeight="1" x14ac:dyDescent="0.3">
      <c r="A9" s="76"/>
      <c r="B9" s="79"/>
      <c r="C9" s="78"/>
      <c r="D9" s="85"/>
      <c r="E9" s="85"/>
      <c r="F9" s="78"/>
      <c r="G9" s="85"/>
      <c r="H9" s="85"/>
      <c r="I9" s="78"/>
      <c r="J9" s="89"/>
      <c r="K9" s="78"/>
      <c r="L9" s="78"/>
      <c r="M9" s="78"/>
      <c r="N9" s="87" t="s">
        <v>29</v>
      </c>
      <c r="O9" s="111">
        <f>Utilitas!O9/Utilitas!C30*1000</f>
        <v>5.1831000461322041E-4</v>
      </c>
      <c r="P9" s="18" t="s">
        <v>206</v>
      </c>
      <c r="Q9" s="78"/>
      <c r="R9" s="78"/>
      <c r="S9" s="78"/>
      <c r="T9" s="78"/>
      <c r="U9" s="78"/>
      <c r="V9" s="78"/>
      <c r="W9" s="78"/>
      <c r="X9" s="78"/>
      <c r="Y9" s="78"/>
      <c r="Z9" s="90"/>
      <c r="AA9" s="112"/>
      <c r="AB9" s="92"/>
      <c r="AC9" s="79"/>
    </row>
    <row r="10" spans="1:29" ht="14.25" customHeight="1" x14ac:dyDescent="0.3">
      <c r="A10" s="76"/>
      <c r="B10" s="79"/>
      <c r="C10" s="78"/>
      <c r="D10" s="85"/>
      <c r="E10" s="85"/>
      <c r="F10" s="78"/>
      <c r="G10" s="85"/>
      <c r="H10" s="85"/>
      <c r="I10" s="78"/>
      <c r="J10" s="89"/>
      <c r="K10" s="78"/>
      <c r="L10" s="78"/>
      <c r="M10" s="78"/>
      <c r="N10" s="87" t="s">
        <v>31</v>
      </c>
      <c r="O10" s="111">
        <f>Utilitas!O10/Utilitas!C30*1000</f>
        <v>2.0257163306103308E-2</v>
      </c>
      <c r="P10" s="18" t="s">
        <v>207</v>
      </c>
      <c r="Q10" s="78"/>
      <c r="R10" s="78"/>
      <c r="S10" s="78"/>
      <c r="T10" s="78"/>
      <c r="U10" s="78"/>
      <c r="V10" s="78"/>
      <c r="W10" s="78"/>
      <c r="X10" s="78"/>
      <c r="Y10" s="78"/>
      <c r="Z10" s="90"/>
      <c r="AA10" s="112"/>
      <c r="AB10" s="92"/>
      <c r="AC10" s="79"/>
    </row>
    <row r="11" spans="1:29" ht="14.25" customHeight="1" x14ac:dyDescent="0.3">
      <c r="A11" s="76"/>
      <c r="B11" s="79"/>
      <c r="C11" s="78"/>
      <c r="D11" s="85"/>
      <c r="E11" s="85"/>
      <c r="F11" s="78"/>
      <c r="G11" s="85"/>
      <c r="H11" s="85"/>
      <c r="I11" s="78"/>
      <c r="J11" s="89"/>
      <c r="K11" s="78"/>
      <c r="L11" s="78"/>
      <c r="M11" s="78"/>
      <c r="N11" s="78"/>
      <c r="O11" s="113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90"/>
      <c r="AA11" s="112"/>
      <c r="AB11" s="92"/>
      <c r="AC11" s="79"/>
    </row>
    <row r="12" spans="1:29" ht="14.25" customHeight="1" x14ac:dyDescent="0.3">
      <c r="A12" s="76"/>
      <c r="B12" s="79"/>
      <c r="C12" s="78"/>
      <c r="D12" s="85"/>
      <c r="E12" s="85"/>
      <c r="F12" s="78"/>
      <c r="G12" s="85"/>
      <c r="H12" s="85"/>
      <c r="I12" s="78"/>
      <c r="J12" s="89"/>
      <c r="K12" s="78"/>
      <c r="L12" s="78"/>
      <c r="M12" s="78"/>
      <c r="N12" s="78"/>
      <c r="O12" s="113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90"/>
      <c r="AA12" s="112"/>
      <c r="AB12" s="92"/>
      <c r="AC12" s="79"/>
    </row>
    <row r="13" spans="1:29" ht="14.25" customHeight="1" x14ac:dyDescent="0.3">
      <c r="A13" s="187">
        <v>2</v>
      </c>
      <c r="B13" s="77" t="s">
        <v>101</v>
      </c>
      <c r="C13" s="78"/>
      <c r="D13" s="85"/>
      <c r="E13" s="85"/>
      <c r="F13" s="80" t="s">
        <v>22</v>
      </c>
      <c r="G13" s="111">
        <f>(Utilitas!G13/Utilitas!C30)*0.88</f>
        <v>1.3651443943405738E-2</v>
      </c>
      <c r="H13" s="188" t="s">
        <v>203</v>
      </c>
      <c r="I13" s="80" t="s">
        <v>115</v>
      </c>
      <c r="J13" s="81">
        <f>Utilitas!J13/Utilitas!C30</f>
        <v>5.3429011325306891E-2</v>
      </c>
      <c r="K13" s="188" t="s">
        <v>203</v>
      </c>
      <c r="L13" s="78"/>
      <c r="M13" s="78"/>
      <c r="N13" s="87" t="s">
        <v>24</v>
      </c>
      <c r="O13" s="111">
        <f>Utilitas!O13/Utilitas!C30*1000</f>
        <v>6.9629810353520215E-5</v>
      </c>
      <c r="P13" s="20" t="s">
        <v>205</v>
      </c>
      <c r="Q13" s="78"/>
      <c r="R13" s="78"/>
      <c r="S13" s="78"/>
      <c r="T13" s="78"/>
      <c r="U13" s="78"/>
      <c r="V13" s="78"/>
      <c r="W13" s="80" t="s">
        <v>116</v>
      </c>
      <c r="X13" s="193">
        <f>(Utilitas!X13/Utilitas!C30)</f>
        <v>3.6329210656642426E-3</v>
      </c>
      <c r="Y13" s="188" t="s">
        <v>200</v>
      </c>
      <c r="Z13" s="95" t="s">
        <v>117</v>
      </c>
      <c r="AA13" s="111">
        <f>Utilitas!AA13/Utilitas!C30*1000</f>
        <v>1.0685802265061379E-4</v>
      </c>
      <c r="AB13" s="188" t="s">
        <v>203</v>
      </c>
      <c r="AC13" s="79"/>
    </row>
    <row r="14" spans="1:29" ht="14.25" customHeight="1" x14ac:dyDescent="0.3">
      <c r="A14" s="79"/>
      <c r="B14" s="79"/>
      <c r="C14" s="78"/>
      <c r="D14" s="85"/>
      <c r="E14" s="85"/>
      <c r="F14" s="78"/>
      <c r="G14" s="85"/>
      <c r="H14" s="85"/>
      <c r="I14" s="80" t="s">
        <v>118</v>
      </c>
      <c r="J14" s="81">
        <f>Utilitas!J14/Utilitas!C30</f>
        <v>1.9642121495572963E-2</v>
      </c>
      <c r="K14" s="188" t="s">
        <v>203</v>
      </c>
      <c r="L14" s="78"/>
      <c r="M14" s="78"/>
      <c r="N14" s="87" t="s">
        <v>29</v>
      </c>
      <c r="O14" s="111">
        <f>Utilitas!O14/Utilitas!C30*1000</f>
        <v>1.058833295138436E-3</v>
      </c>
      <c r="P14" s="18" t="s">
        <v>206</v>
      </c>
      <c r="Q14" s="78"/>
      <c r="R14" s="78"/>
      <c r="S14" s="78"/>
      <c r="T14" s="78"/>
      <c r="U14" s="78"/>
      <c r="V14" s="78"/>
      <c r="W14" s="80" t="s">
        <v>119</v>
      </c>
      <c r="X14" s="227">
        <f>(Utilitas!X14/Utilitas!C30)/1000000</f>
        <v>6.5392579181956365E-8</v>
      </c>
      <c r="Y14" s="188" t="s">
        <v>203</v>
      </c>
      <c r="Z14" s="95" t="s">
        <v>121</v>
      </c>
      <c r="AA14" s="111">
        <f>Utilitas!AA14/Utilitas!C30*1000</f>
        <v>3.9284242991145927E-5</v>
      </c>
      <c r="AB14" s="188" t="s">
        <v>203</v>
      </c>
      <c r="AC14" s="79"/>
    </row>
    <row r="15" spans="1:29" ht="14.25" customHeight="1" x14ac:dyDescent="0.3">
      <c r="A15" s="79"/>
      <c r="B15" s="79"/>
      <c r="C15" s="78"/>
      <c r="D15" s="85"/>
      <c r="E15" s="85"/>
      <c r="F15" s="78"/>
      <c r="G15" s="85"/>
      <c r="H15" s="85"/>
      <c r="I15" s="78"/>
      <c r="J15" s="78"/>
      <c r="K15" s="78"/>
      <c r="L15" s="78"/>
      <c r="M15" s="78"/>
      <c r="N15" s="87" t="s">
        <v>31</v>
      </c>
      <c r="O15" s="111">
        <f>Utilitas!O15/Utilitas!C30*1000</f>
        <v>4.1382490753896758E-2</v>
      </c>
      <c r="P15" s="18" t="s">
        <v>207</v>
      </c>
      <c r="Q15" s="78"/>
      <c r="R15" s="78"/>
      <c r="S15" s="78"/>
      <c r="T15" s="78"/>
      <c r="U15" s="78"/>
      <c r="V15" s="78"/>
      <c r="W15" s="80" t="s">
        <v>122</v>
      </c>
      <c r="X15" s="227">
        <f>(Utilitas!X15/Utilitas!C30)/1000000</f>
        <v>7.2658421313284858E-11</v>
      </c>
      <c r="Y15" s="188" t="s">
        <v>203</v>
      </c>
      <c r="Z15" s="78"/>
      <c r="AA15" s="97"/>
      <c r="AB15" s="78"/>
      <c r="AC15" s="79"/>
    </row>
    <row r="16" spans="1:29" ht="14.25" customHeight="1" x14ac:dyDescent="0.3">
      <c r="A16" s="98"/>
      <c r="B16" s="98"/>
      <c r="C16" s="84"/>
      <c r="D16" s="99"/>
      <c r="E16" s="99"/>
      <c r="F16" s="84"/>
      <c r="G16" s="99"/>
      <c r="H16" s="99"/>
      <c r="I16" s="84"/>
      <c r="J16" s="84"/>
      <c r="K16" s="84"/>
      <c r="L16" s="84"/>
      <c r="M16" s="84"/>
      <c r="N16" s="84"/>
      <c r="O16" s="115"/>
      <c r="P16" s="84"/>
      <c r="Q16" s="84"/>
      <c r="R16" s="84"/>
      <c r="S16" s="84"/>
      <c r="T16" s="84"/>
      <c r="U16" s="84"/>
      <c r="V16" s="84"/>
      <c r="W16" s="101" t="s">
        <v>123</v>
      </c>
      <c r="X16" s="228">
        <f>(Utilitas!X16/Utilitas!C30)/1000000</f>
        <v>3.2696289590978188E-9</v>
      </c>
      <c r="Y16" s="188" t="s">
        <v>203</v>
      </c>
      <c r="Z16" s="84"/>
      <c r="AA16" s="84"/>
      <c r="AB16" s="84"/>
      <c r="AC16" s="98"/>
    </row>
    <row r="17" spans="1:29" ht="12.75" customHeight="1" x14ac:dyDescent="0.3">
      <c r="A17" s="103"/>
      <c r="B17" s="98"/>
      <c r="C17" s="84"/>
      <c r="D17" s="99"/>
      <c r="E17" s="99"/>
      <c r="F17" s="84"/>
      <c r="G17" s="99"/>
      <c r="H17" s="99"/>
      <c r="I17" s="84"/>
      <c r="J17" s="84"/>
      <c r="K17" s="84"/>
      <c r="L17" s="84"/>
      <c r="M17" s="84"/>
      <c r="N17" s="84"/>
      <c r="O17" s="115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98"/>
    </row>
    <row r="18" spans="1:29" ht="12.75" customHeight="1" x14ac:dyDescent="0.3">
      <c r="A18" s="187">
        <v>3</v>
      </c>
      <c r="B18" s="104" t="s">
        <v>102</v>
      </c>
      <c r="C18" s="78"/>
      <c r="D18" s="85"/>
      <c r="E18" s="85"/>
      <c r="F18" s="79" t="s">
        <v>22</v>
      </c>
      <c r="G18" s="116">
        <f>(Utilitas!G18/Utilitas!C30)*0.88</f>
        <v>2.2169610837840557</v>
      </c>
      <c r="H18" s="188" t="s">
        <v>203</v>
      </c>
      <c r="I18" s="78"/>
      <c r="J18" s="78"/>
      <c r="K18" s="78"/>
      <c r="L18" s="117">
        <f>(Utilitas!L18/Utilitas!C30)*1000</f>
        <v>0.74084902239595096</v>
      </c>
      <c r="M18" s="190" t="s">
        <v>203</v>
      </c>
      <c r="N18" s="87" t="s">
        <v>24</v>
      </c>
      <c r="O18" s="117">
        <f>Utilitas!O18/Utilitas!C30*1000</f>
        <v>1.130771077879893E-2</v>
      </c>
      <c r="P18" s="20" t="s">
        <v>205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9"/>
    </row>
    <row r="19" spans="1:29" ht="14.25" customHeight="1" x14ac:dyDescent="0.3">
      <c r="A19" s="79"/>
      <c r="B19" s="77"/>
      <c r="C19" s="78"/>
      <c r="D19" s="85"/>
      <c r="E19" s="85"/>
      <c r="F19" s="78"/>
      <c r="G19" s="107"/>
      <c r="H19" s="78"/>
      <c r="I19" s="78"/>
      <c r="J19" s="78"/>
      <c r="K19" s="78"/>
      <c r="L19" s="78"/>
      <c r="M19" s="78"/>
      <c r="N19" s="87" t="s">
        <v>29</v>
      </c>
      <c r="O19" s="117">
        <f>Utilitas!O19/Utilitas!C30*1000</f>
        <v>0.17195193558045893</v>
      </c>
      <c r="P19" s="18" t="s">
        <v>206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9"/>
    </row>
    <row r="20" spans="1:29" ht="14.25" customHeight="1" x14ac:dyDescent="0.3">
      <c r="A20" s="79"/>
      <c r="B20" s="77"/>
      <c r="C20" s="78"/>
      <c r="D20" s="85"/>
      <c r="E20" s="85"/>
      <c r="F20" s="78"/>
      <c r="G20" s="107"/>
      <c r="H20" s="78"/>
      <c r="I20" s="78"/>
      <c r="J20" s="78"/>
      <c r="K20" s="78"/>
      <c r="L20" s="78"/>
      <c r="M20" s="78"/>
      <c r="N20" s="87" t="s">
        <v>31</v>
      </c>
      <c r="O20" s="117">
        <f>Utilitas!O20/Utilitas!C30*1000</f>
        <v>6.7204152126163024</v>
      </c>
      <c r="P20" s="18" t="s">
        <v>207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9"/>
    </row>
    <row r="21" spans="1:29" ht="14.25" customHeight="1" x14ac:dyDescent="0.3">
      <c r="A21" s="79"/>
      <c r="B21" s="77"/>
      <c r="C21" s="78"/>
      <c r="D21" s="85"/>
      <c r="E21" s="85"/>
      <c r="F21" s="78"/>
      <c r="G21" s="107"/>
      <c r="H21" s="78"/>
      <c r="I21" s="78"/>
      <c r="J21" s="78"/>
      <c r="K21" s="78"/>
      <c r="L21" s="78"/>
      <c r="M21" s="78"/>
      <c r="N21" s="78"/>
      <c r="O21" s="85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9"/>
    </row>
    <row r="22" spans="1:29" ht="14.25" customHeight="1" x14ac:dyDescent="0.3">
      <c r="A22" s="187">
        <v>4</v>
      </c>
      <c r="B22" s="77" t="s">
        <v>103</v>
      </c>
      <c r="C22" s="80" t="s">
        <v>124</v>
      </c>
      <c r="D22" s="111">
        <f>Utilitas!D22/Utilitas!C30*1000*0.88</f>
        <v>0.21396490426821876</v>
      </c>
      <c r="E22" s="188" t="s">
        <v>203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80" t="s">
        <v>124</v>
      </c>
      <c r="U22" s="194">
        <f>Utilitas!U22/Utilitas!C30*1000*0.88</f>
        <v>0.18830400824033441</v>
      </c>
      <c r="V22" s="188" t="s">
        <v>203</v>
      </c>
      <c r="W22" s="78"/>
      <c r="X22" s="78"/>
      <c r="Y22" s="78"/>
      <c r="Z22" s="78"/>
      <c r="AA22" s="78"/>
      <c r="AB22" s="78"/>
      <c r="AC22" s="79"/>
    </row>
    <row r="23" spans="1:29" ht="14.25" customHeight="1" x14ac:dyDescent="0.3">
      <c r="A23" s="79"/>
      <c r="B23" s="79"/>
      <c r="C23" s="108" t="s">
        <v>125</v>
      </c>
      <c r="D23" s="111">
        <f>Utilitas!D23/Utilitas!C30*1000</f>
        <v>2.3811919465810231E-3</v>
      </c>
      <c r="E23" s="188" t="s">
        <v>203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8" t="s">
        <v>125</v>
      </c>
      <c r="U23" s="111">
        <f>Utilitas!U23/Utilitas!C30*1000</f>
        <v>2.3811919465810231E-3</v>
      </c>
      <c r="V23" s="188" t="s">
        <v>203</v>
      </c>
      <c r="W23" s="78"/>
      <c r="X23" s="78"/>
      <c r="Y23" s="78"/>
      <c r="Z23" s="78"/>
      <c r="AA23" s="78"/>
      <c r="AB23" s="78"/>
      <c r="AC23" s="79"/>
    </row>
    <row r="24" spans="1:29" ht="14.25" customHeight="1" x14ac:dyDescent="0.3">
      <c r="A24" s="79"/>
      <c r="B24" s="79"/>
      <c r="C24" s="108" t="s">
        <v>126</v>
      </c>
      <c r="D24" s="111">
        <f>Utilitas!D24/Utilitas!C30*1000</f>
        <v>2.6502286676525925E-2</v>
      </c>
      <c r="E24" s="188" t="s">
        <v>203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08" t="s">
        <v>126</v>
      </c>
      <c r="U24" s="111">
        <f>Utilitas!U24/Utilitas!C30*1000</f>
        <v>2.6502286676525925E-2</v>
      </c>
      <c r="V24" s="188" t="s">
        <v>203</v>
      </c>
      <c r="W24" s="78"/>
      <c r="X24" s="78"/>
      <c r="Y24" s="78"/>
      <c r="Z24" s="78"/>
      <c r="AA24" s="78"/>
      <c r="AB24" s="78"/>
      <c r="AC24" s="79"/>
    </row>
    <row r="25" spans="1:29" ht="14.25" customHeight="1" x14ac:dyDescent="0.3">
      <c r="A25" s="79"/>
      <c r="B25" s="79"/>
      <c r="C25" s="80" t="s">
        <v>127</v>
      </c>
      <c r="D25" s="111">
        <f>Utilitas!D25/Utilitas!C30*1000</f>
        <v>4.7189908736343759E-3</v>
      </c>
      <c r="E25" s="188" t="s">
        <v>203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80" t="s">
        <v>127</v>
      </c>
      <c r="U25" s="111">
        <f>Utilitas!U25/Utilitas!C30*1000</f>
        <v>4.7189908736343759E-3</v>
      </c>
      <c r="V25" s="188" t="s">
        <v>203</v>
      </c>
      <c r="W25" s="78"/>
      <c r="X25" s="78"/>
      <c r="Y25" s="78"/>
      <c r="Z25" s="78"/>
      <c r="AA25" s="78"/>
      <c r="AB25" s="78"/>
      <c r="AC25" s="79"/>
    </row>
    <row r="26" spans="1:29" ht="14.25" customHeight="1" x14ac:dyDescent="0.3">
      <c r="A26" s="79"/>
      <c r="B26" s="79"/>
      <c r="C26" s="108" t="s">
        <v>128</v>
      </c>
      <c r="D26" s="118">
        <f>Utilitas!D26/Utilitas!C30*1000</f>
        <v>5.0335902652099982E-3</v>
      </c>
      <c r="E26" s="188" t="s">
        <v>203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08" t="s">
        <v>128</v>
      </c>
      <c r="U26" s="111">
        <f>Utilitas!U26/Utilitas!C30*1000</f>
        <v>5.0335902652099982E-3</v>
      </c>
      <c r="V26" s="188" t="s">
        <v>203</v>
      </c>
      <c r="W26" s="78"/>
      <c r="X26" s="78"/>
      <c r="Y26" s="78"/>
      <c r="Z26" s="78"/>
      <c r="AA26" s="78"/>
      <c r="AB26" s="78"/>
      <c r="AC26" s="79"/>
    </row>
    <row r="27" spans="1:29" ht="14.25" customHeight="1" x14ac:dyDescent="0.3">
      <c r="A27" s="79"/>
      <c r="B27" s="79"/>
      <c r="C27" s="108" t="s">
        <v>129</v>
      </c>
      <c r="D27" s="111">
        <f>Utilitas!D27/Utilitas!C30*1000</f>
        <v>1.3180597136765854E-2</v>
      </c>
      <c r="E27" s="188" t="s">
        <v>203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8" t="s">
        <v>129</v>
      </c>
      <c r="U27" s="111">
        <f>Utilitas!U27/Utilitas!C30*1000</f>
        <v>1.3180597136765854E-2</v>
      </c>
      <c r="V27" s="188" t="s">
        <v>203</v>
      </c>
      <c r="W27" s="78"/>
      <c r="X27" s="78"/>
      <c r="Y27" s="78"/>
      <c r="Z27" s="78"/>
      <c r="AA27" s="78"/>
      <c r="AB27" s="78"/>
      <c r="AC27" s="79"/>
    </row>
    <row r="28" spans="1:29" ht="14.25" customHeight="1" x14ac:dyDescent="0.3">
      <c r="A28" s="79"/>
      <c r="B28" s="79"/>
      <c r="C28" s="80" t="s">
        <v>130</v>
      </c>
      <c r="D28" s="111">
        <f>Utilitas!D28/Utilitas!C30*1000</f>
        <v>1.4428178992951074E-3</v>
      </c>
      <c r="E28" s="188" t="s">
        <v>203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80" t="s">
        <v>130</v>
      </c>
      <c r="U28" s="111">
        <f>Utilitas!U28/Utilitas!C30*1000</f>
        <v>1.4428178992951074E-3</v>
      </c>
      <c r="V28" s="188" t="s">
        <v>203</v>
      </c>
      <c r="W28" s="78"/>
      <c r="X28" s="78"/>
      <c r="Y28" s="78"/>
      <c r="Z28" s="78"/>
      <c r="AA28" s="78"/>
      <c r="AB28" s="78"/>
      <c r="AC28" s="79"/>
    </row>
    <row r="29" spans="1:29" ht="14.25" customHeight="1" x14ac:dyDescent="0.3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</row>
    <row r="30" spans="1:29" ht="14.25" customHeight="1" x14ac:dyDescent="0.3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</row>
    <row r="31" spans="1:29" ht="14.25" customHeight="1" x14ac:dyDescent="0.3">
      <c r="A31" s="109"/>
      <c r="B31" s="109"/>
      <c r="C31" s="109"/>
      <c r="D31" s="109"/>
      <c r="E31" s="109"/>
      <c r="F31" s="109"/>
      <c r="G31" s="109"/>
      <c r="H31" s="109"/>
      <c r="I31" s="109"/>
      <c r="J31" s="119"/>
      <c r="K31" s="119"/>
      <c r="L31" s="119"/>
      <c r="M31" s="119"/>
      <c r="N31" s="119"/>
      <c r="O31" s="11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</row>
    <row r="32" spans="1:29" ht="14.25" customHeight="1" x14ac:dyDescent="0.3">
      <c r="A32" s="109"/>
      <c r="B32" s="109"/>
      <c r="C32" s="109"/>
      <c r="D32" s="109"/>
      <c r="E32" s="109"/>
      <c r="F32" s="109"/>
      <c r="G32" s="109"/>
      <c r="H32" s="109"/>
      <c r="I32" s="109"/>
      <c r="J32" s="120"/>
      <c r="K32" s="119"/>
      <c r="L32" s="119"/>
      <c r="M32" s="119"/>
      <c r="N32" s="119"/>
      <c r="O32" s="11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</row>
    <row r="33" spans="1:29" ht="14.25" customHeight="1" x14ac:dyDescent="0.3">
      <c r="A33" s="109"/>
      <c r="B33" s="109"/>
      <c r="C33" s="109"/>
      <c r="D33" s="109"/>
      <c r="E33" s="109"/>
      <c r="F33" s="109"/>
      <c r="G33" s="109"/>
      <c r="H33" s="109"/>
      <c r="I33" s="109"/>
      <c r="J33" s="121"/>
      <c r="K33" s="67"/>
      <c r="L33" s="121"/>
      <c r="M33" s="119"/>
      <c r="N33" s="119"/>
      <c r="O33" s="11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</row>
    <row r="34" spans="1:29" ht="14.25" customHeight="1" x14ac:dyDescent="0.3">
      <c r="A34" s="109"/>
      <c r="B34" s="109"/>
      <c r="C34" s="109"/>
      <c r="D34" s="109"/>
      <c r="E34" s="109"/>
      <c r="F34" s="109"/>
      <c r="G34" s="109"/>
      <c r="H34" s="109"/>
      <c r="I34" s="109"/>
      <c r="J34" s="121"/>
      <c r="K34" s="67"/>
      <c r="L34" s="121"/>
      <c r="M34" s="119"/>
      <c r="N34" s="119"/>
      <c r="O34" s="11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</row>
    <row r="35" spans="1:29" ht="14.25" customHeight="1" x14ac:dyDescent="0.3">
      <c r="A35" s="109"/>
      <c r="B35" s="109"/>
      <c r="C35" s="109"/>
      <c r="D35" s="109"/>
      <c r="E35" s="109"/>
      <c r="F35" s="109"/>
      <c r="G35" s="109"/>
      <c r="H35" s="109"/>
      <c r="I35" s="109"/>
      <c r="J35" s="121"/>
      <c r="K35" s="67"/>
      <c r="L35" s="121"/>
      <c r="M35" s="119"/>
      <c r="N35" s="119"/>
      <c r="O35" s="11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</row>
    <row r="36" spans="1:29" ht="14.25" customHeight="1" x14ac:dyDescent="0.3">
      <c r="A36" s="109"/>
      <c r="B36" s="109"/>
      <c r="C36" s="109"/>
      <c r="D36" s="109"/>
      <c r="E36" s="109"/>
      <c r="F36" s="109"/>
      <c r="G36" s="109"/>
      <c r="H36" s="109"/>
      <c r="I36" s="109"/>
      <c r="J36" s="121"/>
      <c r="K36" s="67"/>
      <c r="L36" s="121"/>
      <c r="M36" s="119"/>
      <c r="N36" s="119"/>
      <c r="O36" s="11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</row>
    <row r="37" spans="1:29" ht="14.25" customHeight="1" x14ac:dyDescent="0.3">
      <c r="A37" s="109"/>
      <c r="B37" s="109"/>
      <c r="C37" s="109"/>
      <c r="D37" s="109"/>
      <c r="E37" s="109"/>
      <c r="F37" s="109"/>
      <c r="G37" s="109"/>
      <c r="H37" s="109"/>
      <c r="I37" s="109"/>
      <c r="J37" s="121"/>
      <c r="K37" s="67"/>
      <c r="L37" s="121"/>
      <c r="M37" s="119"/>
      <c r="N37" s="119"/>
      <c r="O37" s="11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</row>
    <row r="38" spans="1:29" ht="14.25" customHeight="1" x14ac:dyDescent="0.3">
      <c r="A38" s="109"/>
      <c r="B38" s="109"/>
      <c r="C38" s="109"/>
      <c r="D38" s="109"/>
      <c r="E38" s="109"/>
      <c r="F38" s="109"/>
      <c r="G38" s="109"/>
      <c r="H38" s="109"/>
      <c r="I38" s="109"/>
      <c r="J38" s="121"/>
      <c r="K38" s="67"/>
      <c r="L38" s="121"/>
      <c r="M38" s="119"/>
      <c r="N38" s="119"/>
      <c r="O38" s="11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</row>
    <row r="39" spans="1:29" ht="14.25" customHeight="1" x14ac:dyDescent="0.35">
      <c r="A39" s="109"/>
      <c r="B39" s="109"/>
      <c r="C39" s="109"/>
      <c r="D39" s="109"/>
      <c r="E39" s="109"/>
      <c r="F39" s="109"/>
      <c r="G39" s="109"/>
      <c r="H39" s="109"/>
      <c r="I39" s="109"/>
      <c r="J39" s="120"/>
      <c r="K39" s="119"/>
      <c r="L39" s="68"/>
      <c r="M39" s="69"/>
      <c r="N39" s="69"/>
      <c r="O39" s="6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29" ht="14.25" customHeight="1" x14ac:dyDescent="0.35">
      <c r="A40" s="109"/>
      <c r="B40" s="109"/>
      <c r="C40" s="109"/>
      <c r="D40" s="109"/>
      <c r="E40" s="109"/>
      <c r="F40" s="109"/>
      <c r="G40" s="109"/>
      <c r="H40" s="109"/>
      <c r="I40" s="109"/>
      <c r="J40" s="66"/>
      <c r="K40" s="67"/>
      <c r="L40" s="68"/>
      <c r="M40" s="69"/>
      <c r="N40" s="69"/>
      <c r="O40" s="6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</row>
    <row r="41" spans="1:29" ht="14.25" customHeight="1" x14ac:dyDescent="0.3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</row>
    <row r="42" spans="1:29" ht="14.25" customHeight="1" x14ac:dyDescent="0.3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</row>
    <row r="43" spans="1:29" ht="14.25" customHeight="1" x14ac:dyDescent="0.3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</row>
    <row r="44" spans="1:29" ht="14.25" customHeight="1" x14ac:dyDescent="0.3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</row>
    <row r="45" spans="1:29" ht="14.25" customHeight="1" x14ac:dyDescent="0.3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</row>
    <row r="46" spans="1:29" ht="14.25" customHeight="1" x14ac:dyDescent="0.3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</row>
    <row r="47" spans="1:29" ht="14.25" customHeight="1" x14ac:dyDescent="0.3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</row>
    <row r="48" spans="1:29" ht="14.25" customHeight="1" x14ac:dyDescent="0.3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</row>
    <row r="49" spans="1:29" ht="14.25" customHeight="1" x14ac:dyDescent="0.3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</row>
    <row r="50" spans="1:29" ht="14.25" customHeight="1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</row>
    <row r="51" spans="1:29" ht="14.25" customHeight="1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</row>
    <row r="52" spans="1:29" ht="14.25" customHeight="1" x14ac:dyDescent="0.3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</row>
    <row r="53" spans="1:29" ht="14.25" customHeight="1" x14ac:dyDescent="0.3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</row>
    <row r="54" spans="1:29" ht="14.25" customHeight="1" x14ac:dyDescent="0.3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</row>
    <row r="55" spans="1:29" ht="14.25" customHeight="1" x14ac:dyDescent="0.3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</row>
    <row r="56" spans="1:29" ht="14.25" customHeight="1" x14ac:dyDescent="0.3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</row>
    <row r="57" spans="1:29" ht="14.25" customHeight="1" x14ac:dyDescent="0.3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</row>
    <row r="58" spans="1:29" ht="14.25" customHeight="1" x14ac:dyDescent="0.3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</row>
    <row r="59" spans="1:29" ht="14.25" customHeight="1" x14ac:dyDescent="0.3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</row>
    <row r="60" spans="1:29" ht="14.25" customHeight="1" x14ac:dyDescent="0.3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</row>
    <row r="61" spans="1:29" ht="14.25" customHeight="1" x14ac:dyDescent="0.3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</row>
    <row r="62" spans="1:29" ht="14.25" customHeight="1" x14ac:dyDescent="0.3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</row>
    <row r="63" spans="1:29" ht="14.25" customHeight="1" x14ac:dyDescent="0.3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</row>
    <row r="64" spans="1:29" ht="14.25" customHeight="1" x14ac:dyDescent="0.3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</row>
    <row r="65" spans="1:29" ht="14.25" customHeight="1" x14ac:dyDescent="0.3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</row>
    <row r="66" spans="1:29" ht="14.25" customHeight="1" x14ac:dyDescent="0.3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</row>
    <row r="67" spans="1:29" ht="14.25" customHeight="1" x14ac:dyDescent="0.3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</row>
    <row r="68" spans="1:29" ht="14.25" customHeight="1" x14ac:dyDescent="0.3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</row>
    <row r="69" spans="1:29" ht="14.25" customHeight="1" x14ac:dyDescent="0.3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</row>
    <row r="70" spans="1:29" ht="14.25" customHeight="1" x14ac:dyDescent="0.3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</row>
    <row r="71" spans="1:29" ht="14.25" customHeight="1" x14ac:dyDescent="0.3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</row>
    <row r="72" spans="1:29" ht="14.25" customHeight="1" x14ac:dyDescent="0.3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</row>
    <row r="73" spans="1:29" ht="14.25" customHeight="1" x14ac:dyDescent="0.3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</row>
    <row r="74" spans="1:29" ht="14.25" customHeight="1" x14ac:dyDescent="0.3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</row>
    <row r="75" spans="1:29" ht="14.25" customHeight="1" x14ac:dyDescent="0.3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</row>
    <row r="76" spans="1:29" ht="14.25" customHeight="1" x14ac:dyDescent="0.3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</row>
    <row r="77" spans="1:29" ht="14.25" customHeight="1" x14ac:dyDescent="0.3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</row>
    <row r="78" spans="1:29" ht="14.25" customHeight="1" x14ac:dyDescent="0.3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</row>
    <row r="79" spans="1:29" ht="14.25" customHeight="1" x14ac:dyDescent="0.3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</row>
    <row r="80" spans="1:29" ht="14.25" customHeight="1" x14ac:dyDescent="0.3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</row>
    <row r="81" spans="1:29" ht="14.25" customHeight="1" x14ac:dyDescent="0.3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</row>
    <row r="82" spans="1:29" ht="14.25" customHeight="1" x14ac:dyDescent="0.3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</row>
    <row r="83" spans="1:29" ht="14.25" customHeight="1" x14ac:dyDescent="0.3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</row>
    <row r="84" spans="1:29" ht="14.25" customHeight="1" x14ac:dyDescent="0.3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</row>
    <row r="85" spans="1:29" ht="14.25" customHeight="1" x14ac:dyDescent="0.3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</row>
    <row r="86" spans="1:29" ht="14.25" customHeight="1" x14ac:dyDescent="0.3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</row>
    <row r="87" spans="1:29" ht="14.25" customHeight="1" x14ac:dyDescent="0.3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</row>
    <row r="88" spans="1:29" ht="14.25" customHeight="1" x14ac:dyDescent="0.3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</row>
    <row r="89" spans="1:29" ht="14.25" customHeight="1" x14ac:dyDescent="0.3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</row>
    <row r="90" spans="1:29" ht="14.25" customHeight="1" x14ac:dyDescent="0.3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</row>
    <row r="91" spans="1:29" ht="14.25" customHeight="1" x14ac:dyDescent="0.3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</row>
    <row r="92" spans="1:29" ht="14.25" customHeight="1" x14ac:dyDescent="0.3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</row>
    <row r="93" spans="1:29" ht="14.25" customHeight="1" x14ac:dyDescent="0.3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</row>
    <row r="94" spans="1:29" ht="14.25" customHeight="1" x14ac:dyDescent="0.3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</row>
    <row r="95" spans="1:29" ht="14.25" customHeight="1" x14ac:dyDescent="0.3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</row>
    <row r="96" spans="1:29" ht="14.25" customHeight="1" x14ac:dyDescent="0.3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</row>
    <row r="97" spans="1:29" ht="14.25" customHeight="1" x14ac:dyDescent="0.3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</row>
    <row r="98" spans="1:29" ht="14.25" customHeight="1" x14ac:dyDescent="0.3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</row>
    <row r="99" spans="1:29" ht="14.25" customHeight="1" x14ac:dyDescent="0.3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</row>
    <row r="100" spans="1:29" ht="14.25" customHeight="1" x14ac:dyDescent="0.3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</row>
    <row r="101" spans="1:29" ht="14.25" customHeight="1" x14ac:dyDescent="0.3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</row>
    <row r="102" spans="1:29" ht="14.25" customHeight="1" x14ac:dyDescent="0.3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</row>
    <row r="103" spans="1:29" ht="14.25" customHeight="1" x14ac:dyDescent="0.3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1:29" ht="14.25" customHeight="1" x14ac:dyDescent="0.3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</row>
    <row r="105" spans="1:29" ht="14.25" customHeight="1" x14ac:dyDescent="0.3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</row>
    <row r="106" spans="1:29" ht="14.25" customHeight="1" x14ac:dyDescent="0.3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</row>
    <row r="107" spans="1:29" ht="14.25" customHeight="1" x14ac:dyDescent="0.3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</row>
    <row r="108" spans="1:29" ht="14.25" customHeight="1" x14ac:dyDescent="0.3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</row>
    <row r="109" spans="1:29" ht="14.25" customHeight="1" x14ac:dyDescent="0.3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</row>
    <row r="110" spans="1:29" ht="14.25" customHeight="1" x14ac:dyDescent="0.3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</row>
    <row r="111" spans="1:29" ht="14.25" customHeight="1" x14ac:dyDescent="0.3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</row>
    <row r="112" spans="1:29" ht="14.25" customHeight="1" x14ac:dyDescent="0.3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</row>
    <row r="113" spans="1:29" ht="14.25" customHeight="1" x14ac:dyDescent="0.3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</row>
    <row r="114" spans="1:29" ht="14.25" customHeight="1" x14ac:dyDescent="0.3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</row>
    <row r="115" spans="1:29" ht="14.25" customHeight="1" x14ac:dyDescent="0.3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</row>
    <row r="116" spans="1:29" ht="14.25" customHeight="1" x14ac:dyDescent="0.3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</row>
    <row r="117" spans="1:29" ht="14.25" customHeight="1" x14ac:dyDescent="0.3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</row>
    <row r="118" spans="1:29" ht="14.25" customHeight="1" x14ac:dyDescent="0.3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</row>
    <row r="119" spans="1:29" ht="14.25" customHeight="1" x14ac:dyDescent="0.3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</row>
    <row r="120" spans="1:29" ht="14.25" customHeight="1" x14ac:dyDescent="0.3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</row>
    <row r="121" spans="1:29" ht="14.25" customHeight="1" x14ac:dyDescent="0.3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</row>
    <row r="122" spans="1:29" ht="14.25" customHeight="1" x14ac:dyDescent="0.3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</row>
    <row r="123" spans="1:29" ht="14.25" customHeight="1" x14ac:dyDescent="0.3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</row>
    <row r="124" spans="1:29" ht="14.25" customHeight="1" x14ac:dyDescent="0.3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</row>
    <row r="125" spans="1:29" ht="14.25" customHeight="1" x14ac:dyDescent="0.3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</row>
    <row r="126" spans="1:29" ht="14.25" customHeight="1" x14ac:dyDescent="0.3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</row>
    <row r="127" spans="1:29" ht="14.25" customHeight="1" x14ac:dyDescent="0.3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</row>
    <row r="128" spans="1:29" ht="14.25" customHeight="1" x14ac:dyDescent="0.3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</row>
    <row r="129" spans="1:29" ht="14.25" customHeight="1" x14ac:dyDescent="0.3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</row>
    <row r="130" spans="1:29" ht="14.25" customHeight="1" x14ac:dyDescent="0.3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</row>
    <row r="131" spans="1:29" ht="14.25" customHeight="1" x14ac:dyDescent="0.3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</row>
    <row r="132" spans="1:29" ht="14.25" customHeight="1" x14ac:dyDescent="0.3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</row>
    <row r="133" spans="1:29" ht="14.25" customHeight="1" x14ac:dyDescent="0.3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</row>
    <row r="134" spans="1:29" ht="14.25" customHeight="1" x14ac:dyDescent="0.3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</row>
    <row r="135" spans="1:29" ht="14.25" customHeight="1" x14ac:dyDescent="0.3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</row>
    <row r="136" spans="1:29" ht="14.25" customHeight="1" x14ac:dyDescent="0.3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</row>
    <row r="137" spans="1:29" ht="14.25" customHeight="1" x14ac:dyDescent="0.3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</row>
    <row r="138" spans="1:29" ht="14.25" customHeight="1" x14ac:dyDescent="0.3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</row>
    <row r="139" spans="1:29" ht="14.25" customHeight="1" x14ac:dyDescent="0.3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</row>
    <row r="140" spans="1:29" ht="14.25" customHeight="1" x14ac:dyDescent="0.3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</row>
    <row r="141" spans="1:29" ht="14.25" customHeight="1" x14ac:dyDescent="0.3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</row>
    <row r="142" spans="1:29" ht="14.25" customHeight="1" x14ac:dyDescent="0.3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</row>
    <row r="143" spans="1:29" ht="14.25" customHeight="1" x14ac:dyDescent="0.3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</row>
    <row r="144" spans="1:29" ht="14.25" customHeight="1" x14ac:dyDescent="0.3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</row>
    <row r="145" spans="1:29" ht="14.25" customHeight="1" x14ac:dyDescent="0.3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</row>
    <row r="146" spans="1:29" ht="14.25" customHeight="1" x14ac:dyDescent="0.3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</row>
    <row r="147" spans="1:29" ht="14.25" customHeight="1" x14ac:dyDescent="0.3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</row>
    <row r="148" spans="1:29" ht="14.25" customHeight="1" x14ac:dyDescent="0.3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</row>
    <row r="149" spans="1:29" ht="14.25" customHeight="1" x14ac:dyDescent="0.3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</row>
    <row r="150" spans="1:29" ht="14.25" customHeight="1" x14ac:dyDescent="0.3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</row>
    <row r="151" spans="1:29" ht="14.25" customHeight="1" x14ac:dyDescent="0.3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</row>
    <row r="152" spans="1:29" ht="14.25" customHeight="1" x14ac:dyDescent="0.3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</row>
    <row r="153" spans="1:29" ht="14.25" customHeight="1" x14ac:dyDescent="0.3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</row>
    <row r="154" spans="1:29" ht="14.25" customHeight="1" x14ac:dyDescent="0.3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</row>
    <row r="155" spans="1:29" ht="14.25" customHeight="1" x14ac:dyDescent="0.3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</row>
    <row r="156" spans="1:29" ht="14.25" customHeight="1" x14ac:dyDescent="0.3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</row>
    <row r="157" spans="1:29" ht="14.25" customHeight="1" x14ac:dyDescent="0.3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</row>
    <row r="158" spans="1:29" ht="14.25" customHeight="1" x14ac:dyDescent="0.3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</row>
    <row r="159" spans="1:29" ht="14.25" customHeight="1" x14ac:dyDescent="0.3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</row>
    <row r="160" spans="1:29" ht="14.25" customHeight="1" x14ac:dyDescent="0.3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</row>
    <row r="161" spans="1:29" ht="14.25" customHeight="1" x14ac:dyDescent="0.3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</row>
    <row r="162" spans="1:29" ht="14.25" customHeight="1" x14ac:dyDescent="0.3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</row>
    <row r="163" spans="1:29" ht="14.25" customHeight="1" x14ac:dyDescent="0.3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</row>
    <row r="164" spans="1:29" ht="14.25" customHeight="1" x14ac:dyDescent="0.3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</row>
    <row r="165" spans="1:29" ht="14.25" customHeight="1" x14ac:dyDescent="0.3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</row>
    <row r="166" spans="1:29" ht="14.25" customHeight="1" x14ac:dyDescent="0.3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</row>
    <row r="167" spans="1:29" ht="14.25" customHeight="1" x14ac:dyDescent="0.3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</row>
    <row r="168" spans="1:29" ht="14.25" customHeight="1" x14ac:dyDescent="0.3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</row>
    <row r="169" spans="1:29" ht="14.25" customHeight="1" x14ac:dyDescent="0.3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</row>
    <row r="170" spans="1:29" ht="14.25" customHeight="1" x14ac:dyDescent="0.3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</row>
    <row r="171" spans="1:29" ht="14.25" customHeight="1" x14ac:dyDescent="0.3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</row>
    <row r="172" spans="1:29" ht="14.25" customHeight="1" x14ac:dyDescent="0.3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</row>
    <row r="173" spans="1:29" ht="14.25" customHeight="1" x14ac:dyDescent="0.3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</row>
    <row r="174" spans="1:29" ht="14.25" customHeight="1" x14ac:dyDescent="0.3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</row>
    <row r="175" spans="1:29" ht="14.25" customHeight="1" x14ac:dyDescent="0.3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</row>
    <row r="176" spans="1:29" ht="14.25" customHeight="1" x14ac:dyDescent="0.3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</row>
    <row r="177" spans="1:29" ht="14.25" customHeight="1" x14ac:dyDescent="0.3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</row>
    <row r="178" spans="1:29" ht="14.25" customHeight="1" x14ac:dyDescent="0.3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</row>
    <row r="179" spans="1:29" ht="14.25" customHeight="1" x14ac:dyDescent="0.3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</row>
    <row r="180" spans="1:29" ht="14.25" customHeight="1" x14ac:dyDescent="0.3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</row>
    <row r="181" spans="1:29" ht="14.25" customHeight="1" x14ac:dyDescent="0.3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</row>
    <row r="182" spans="1:29" ht="14.25" customHeight="1" x14ac:dyDescent="0.3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</row>
    <row r="183" spans="1:29" ht="14.25" customHeight="1" x14ac:dyDescent="0.3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</row>
    <row r="184" spans="1:29" ht="14.25" customHeight="1" x14ac:dyDescent="0.3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</row>
    <row r="185" spans="1:29" ht="14.25" customHeight="1" x14ac:dyDescent="0.3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</row>
    <row r="186" spans="1:29" ht="14.25" customHeight="1" x14ac:dyDescent="0.3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</row>
    <row r="187" spans="1:29" ht="14.25" customHeight="1" x14ac:dyDescent="0.3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</row>
    <row r="188" spans="1:29" ht="14.25" customHeight="1" x14ac:dyDescent="0.3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</row>
    <row r="189" spans="1:29" ht="14.25" customHeight="1" x14ac:dyDescent="0.3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</row>
    <row r="190" spans="1:29" ht="14.25" customHeight="1" x14ac:dyDescent="0.3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</row>
    <row r="191" spans="1:29" ht="14.25" customHeight="1" x14ac:dyDescent="0.3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</row>
    <row r="192" spans="1:29" ht="14.25" customHeight="1" x14ac:dyDescent="0.3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</row>
    <row r="193" spans="1:29" ht="14.25" customHeight="1" x14ac:dyDescent="0.3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</row>
    <row r="194" spans="1:29" ht="14.25" customHeight="1" x14ac:dyDescent="0.3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</row>
    <row r="195" spans="1:29" ht="14.25" customHeight="1" x14ac:dyDescent="0.3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</row>
    <row r="196" spans="1:29" ht="14.25" customHeight="1" x14ac:dyDescent="0.3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</row>
    <row r="197" spans="1:29" ht="14.25" customHeight="1" x14ac:dyDescent="0.3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</row>
    <row r="198" spans="1:29" ht="14.25" customHeight="1" x14ac:dyDescent="0.3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</row>
    <row r="199" spans="1:29" ht="14.25" customHeight="1" x14ac:dyDescent="0.3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</row>
    <row r="200" spans="1:29" ht="14.25" customHeight="1" x14ac:dyDescent="0.3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</row>
    <row r="201" spans="1:29" ht="14.25" customHeight="1" x14ac:dyDescent="0.3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</row>
    <row r="202" spans="1:29" ht="14.25" customHeight="1" x14ac:dyDescent="0.3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</row>
    <row r="203" spans="1:29" ht="14.25" customHeight="1" x14ac:dyDescent="0.3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</row>
    <row r="204" spans="1:29" ht="14.25" customHeight="1" x14ac:dyDescent="0.3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</row>
    <row r="205" spans="1:29" ht="14.25" customHeight="1" x14ac:dyDescent="0.3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</row>
    <row r="206" spans="1:29" ht="14.25" customHeight="1" x14ac:dyDescent="0.3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</row>
    <row r="207" spans="1:29" ht="14.25" customHeight="1" x14ac:dyDescent="0.3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</row>
    <row r="208" spans="1:29" ht="14.25" customHeight="1" x14ac:dyDescent="0.3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</row>
    <row r="209" spans="1:29" ht="14.25" customHeight="1" x14ac:dyDescent="0.3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</row>
    <row r="210" spans="1:29" ht="14.25" customHeight="1" x14ac:dyDescent="0.3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</row>
    <row r="211" spans="1:29" ht="14.25" customHeight="1" x14ac:dyDescent="0.3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</row>
    <row r="212" spans="1:29" ht="14.25" customHeight="1" x14ac:dyDescent="0.3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</row>
    <row r="213" spans="1:29" ht="14.25" customHeight="1" x14ac:dyDescent="0.3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</row>
    <row r="214" spans="1:29" ht="14.25" customHeight="1" x14ac:dyDescent="0.3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</row>
    <row r="215" spans="1:29" ht="14.25" customHeight="1" x14ac:dyDescent="0.3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</row>
    <row r="216" spans="1:29" ht="14.25" customHeight="1" x14ac:dyDescent="0.3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</row>
    <row r="217" spans="1:29" ht="14.25" customHeight="1" x14ac:dyDescent="0.3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</row>
    <row r="218" spans="1:29" ht="14.25" customHeight="1" x14ac:dyDescent="0.3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</row>
    <row r="219" spans="1:29" ht="14.25" customHeight="1" x14ac:dyDescent="0.3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</row>
    <row r="220" spans="1:29" ht="14.25" customHeight="1" x14ac:dyDescent="0.3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</row>
    <row r="221" spans="1:29" ht="14.25" customHeight="1" x14ac:dyDescent="0.3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</row>
    <row r="222" spans="1:29" ht="14.25" customHeight="1" x14ac:dyDescent="0.3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</row>
    <row r="223" spans="1:29" ht="14.25" customHeight="1" x14ac:dyDescent="0.3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</row>
    <row r="224" spans="1:29" ht="14.25" customHeight="1" x14ac:dyDescent="0.3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</row>
    <row r="225" spans="1:29" ht="14.25" customHeight="1" x14ac:dyDescent="0.3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</row>
    <row r="226" spans="1:29" ht="14.25" customHeight="1" x14ac:dyDescent="0.3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</row>
    <row r="227" spans="1:29" ht="14.25" customHeight="1" x14ac:dyDescent="0.3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</row>
    <row r="228" spans="1:29" ht="14.25" customHeight="1" x14ac:dyDescent="0.3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</row>
    <row r="229" spans="1:29" ht="14.25" customHeight="1" x14ac:dyDescent="0.3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</row>
    <row r="230" spans="1:29" ht="14.25" customHeight="1" x14ac:dyDescent="0.3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</row>
    <row r="231" spans="1:29" ht="14.25" customHeight="1" x14ac:dyDescent="0.3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</row>
    <row r="232" spans="1:29" ht="14.25" customHeight="1" x14ac:dyDescent="0.3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</row>
    <row r="233" spans="1:29" ht="14.25" customHeight="1" x14ac:dyDescent="0.3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</row>
    <row r="234" spans="1:29" ht="14.25" customHeight="1" x14ac:dyDescent="0.3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</row>
    <row r="235" spans="1:29" ht="14.25" customHeight="1" x14ac:dyDescent="0.3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</row>
    <row r="236" spans="1:29" ht="14.25" customHeight="1" x14ac:dyDescent="0.3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</row>
    <row r="237" spans="1:29" ht="14.25" customHeight="1" x14ac:dyDescent="0.3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</row>
    <row r="238" spans="1:29" ht="14.25" customHeight="1" x14ac:dyDescent="0.3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</row>
    <row r="239" spans="1:29" ht="14.25" customHeight="1" x14ac:dyDescent="0.3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</row>
    <row r="240" spans="1:29" ht="14.25" customHeight="1" x14ac:dyDescent="0.3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</row>
    <row r="241" spans="1:29" ht="14.25" customHeight="1" x14ac:dyDescent="0.3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</row>
    <row r="242" spans="1:29" ht="14.25" customHeight="1" x14ac:dyDescent="0.3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</row>
    <row r="243" spans="1:29" ht="14.25" customHeight="1" x14ac:dyDescent="0.3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</row>
    <row r="244" spans="1:29" ht="14.25" customHeight="1" x14ac:dyDescent="0.3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</row>
    <row r="245" spans="1:29" ht="14.25" customHeight="1" x14ac:dyDescent="0.3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</row>
    <row r="246" spans="1:29" ht="14.25" customHeight="1" x14ac:dyDescent="0.3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</row>
    <row r="247" spans="1:29" ht="14.25" customHeight="1" x14ac:dyDescent="0.3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</row>
    <row r="248" spans="1:29" ht="14.25" customHeight="1" x14ac:dyDescent="0.3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</row>
    <row r="249" spans="1:29" ht="14.25" customHeight="1" x14ac:dyDescent="0.3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</row>
    <row r="250" spans="1:29" ht="14.25" customHeight="1" x14ac:dyDescent="0.3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</row>
    <row r="251" spans="1:29" ht="14.25" customHeight="1" x14ac:dyDescent="0.3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</row>
    <row r="252" spans="1:29" ht="14.25" customHeight="1" x14ac:dyDescent="0.3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</row>
    <row r="253" spans="1:29" ht="14.25" customHeight="1" x14ac:dyDescent="0.3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</row>
    <row r="254" spans="1:29" ht="14.25" customHeight="1" x14ac:dyDescent="0.3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</row>
    <row r="255" spans="1:29" ht="14.25" customHeight="1" x14ac:dyDescent="0.3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</row>
    <row r="256" spans="1:29" ht="14.25" customHeight="1" x14ac:dyDescent="0.3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</row>
    <row r="257" spans="1:29" ht="14.25" customHeight="1" x14ac:dyDescent="0.3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</row>
    <row r="258" spans="1:29" ht="14.25" customHeight="1" x14ac:dyDescent="0.3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</row>
    <row r="259" spans="1:29" ht="14.25" customHeight="1" x14ac:dyDescent="0.3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</row>
    <row r="260" spans="1:29" ht="14.25" customHeight="1" x14ac:dyDescent="0.3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</row>
    <row r="261" spans="1:29" ht="14.25" customHeight="1" x14ac:dyDescent="0.3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</row>
    <row r="262" spans="1:29" ht="14.25" customHeight="1" x14ac:dyDescent="0.3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</row>
    <row r="263" spans="1:29" ht="14.25" customHeight="1" x14ac:dyDescent="0.3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</row>
    <row r="264" spans="1:29" ht="14.25" customHeight="1" x14ac:dyDescent="0.3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</row>
    <row r="265" spans="1:29" ht="14.25" customHeight="1" x14ac:dyDescent="0.3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</row>
    <row r="266" spans="1:29" ht="14.25" customHeight="1" x14ac:dyDescent="0.3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</row>
    <row r="267" spans="1:29" ht="14.25" customHeight="1" x14ac:dyDescent="0.3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</row>
    <row r="268" spans="1:29" ht="14.25" customHeight="1" x14ac:dyDescent="0.3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</row>
    <row r="269" spans="1:29" ht="14.25" customHeight="1" x14ac:dyDescent="0.3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</row>
    <row r="270" spans="1:29" ht="14.25" customHeight="1" x14ac:dyDescent="0.3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</row>
    <row r="271" spans="1:29" ht="14.25" customHeight="1" x14ac:dyDescent="0.3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</row>
    <row r="272" spans="1:29" ht="14.25" customHeight="1" x14ac:dyDescent="0.3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</row>
    <row r="273" spans="1:29" ht="14.25" customHeight="1" x14ac:dyDescent="0.3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</row>
    <row r="274" spans="1:29" ht="14.25" customHeight="1" x14ac:dyDescent="0.3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</row>
    <row r="275" spans="1:29" ht="14.25" customHeight="1" x14ac:dyDescent="0.3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</row>
    <row r="276" spans="1:29" ht="14.25" customHeight="1" x14ac:dyDescent="0.3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</row>
    <row r="277" spans="1:29" ht="14.25" customHeight="1" x14ac:dyDescent="0.3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</row>
    <row r="278" spans="1:29" ht="14.25" customHeight="1" x14ac:dyDescent="0.3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</row>
    <row r="279" spans="1:29" ht="14.25" customHeight="1" x14ac:dyDescent="0.3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</row>
    <row r="280" spans="1:29" ht="14.25" customHeight="1" x14ac:dyDescent="0.3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</row>
    <row r="281" spans="1:29" ht="14.25" customHeight="1" x14ac:dyDescent="0.3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</row>
    <row r="282" spans="1:29" ht="14.25" customHeight="1" x14ac:dyDescent="0.3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</row>
    <row r="283" spans="1:29" ht="14.25" customHeight="1" x14ac:dyDescent="0.3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</row>
    <row r="284" spans="1:29" ht="14.25" customHeight="1" x14ac:dyDescent="0.3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</row>
    <row r="285" spans="1:29" ht="14.25" customHeight="1" x14ac:dyDescent="0.3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</row>
    <row r="286" spans="1:29" ht="14.25" customHeight="1" x14ac:dyDescent="0.3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</row>
    <row r="287" spans="1:29" ht="14.25" customHeight="1" x14ac:dyDescent="0.3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</row>
    <row r="288" spans="1:29" ht="14.25" customHeight="1" x14ac:dyDescent="0.3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</row>
    <row r="289" spans="1:29" ht="14.25" customHeight="1" x14ac:dyDescent="0.3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</row>
    <row r="290" spans="1:29" ht="14.25" customHeight="1" x14ac:dyDescent="0.3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</row>
    <row r="291" spans="1:29" ht="14.25" customHeight="1" x14ac:dyDescent="0.3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</row>
    <row r="292" spans="1:29" ht="14.25" customHeight="1" x14ac:dyDescent="0.3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</row>
    <row r="293" spans="1:29" ht="14.25" customHeight="1" x14ac:dyDescent="0.3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</row>
    <row r="294" spans="1:29" ht="14.25" customHeight="1" x14ac:dyDescent="0.3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</row>
    <row r="295" spans="1:29" ht="14.25" customHeight="1" x14ac:dyDescent="0.3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</row>
    <row r="296" spans="1:29" ht="14.25" customHeight="1" x14ac:dyDescent="0.3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</row>
    <row r="297" spans="1:29" ht="14.25" customHeight="1" x14ac:dyDescent="0.3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</row>
    <row r="298" spans="1:29" ht="14.25" customHeight="1" x14ac:dyDescent="0.3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</row>
    <row r="299" spans="1:29" ht="14.25" customHeight="1" x14ac:dyDescent="0.3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</row>
    <row r="300" spans="1:29" ht="14.25" customHeight="1" x14ac:dyDescent="0.3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</row>
    <row r="301" spans="1:29" ht="14.25" customHeight="1" x14ac:dyDescent="0.3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</row>
    <row r="302" spans="1:29" ht="14.25" customHeight="1" x14ac:dyDescent="0.3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</row>
    <row r="303" spans="1:29" ht="14.25" customHeight="1" x14ac:dyDescent="0.3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</row>
    <row r="304" spans="1:29" ht="14.25" customHeight="1" x14ac:dyDescent="0.3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</row>
    <row r="305" spans="1:29" ht="14.25" customHeight="1" x14ac:dyDescent="0.3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</row>
    <row r="306" spans="1:29" ht="14.25" customHeight="1" x14ac:dyDescent="0.3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</row>
    <row r="307" spans="1:29" ht="14.25" customHeight="1" x14ac:dyDescent="0.3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</row>
    <row r="308" spans="1:29" ht="14.25" customHeight="1" x14ac:dyDescent="0.3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</row>
    <row r="309" spans="1:29" ht="14.25" customHeight="1" x14ac:dyDescent="0.3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</row>
    <row r="310" spans="1:29" ht="14.25" customHeight="1" x14ac:dyDescent="0.3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</row>
    <row r="311" spans="1:29" ht="14.25" customHeight="1" x14ac:dyDescent="0.3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</row>
    <row r="312" spans="1:29" ht="14.25" customHeight="1" x14ac:dyDescent="0.3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</row>
    <row r="313" spans="1:29" ht="14.25" customHeight="1" x14ac:dyDescent="0.3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</row>
    <row r="314" spans="1:29" ht="14.25" customHeight="1" x14ac:dyDescent="0.3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</row>
    <row r="315" spans="1:29" ht="14.25" customHeight="1" x14ac:dyDescent="0.3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</row>
    <row r="316" spans="1:29" ht="14.25" customHeight="1" x14ac:dyDescent="0.3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</row>
    <row r="317" spans="1:29" ht="14.25" customHeight="1" x14ac:dyDescent="0.3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</row>
    <row r="318" spans="1:29" ht="14.25" customHeight="1" x14ac:dyDescent="0.3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</row>
    <row r="319" spans="1:29" ht="14.25" customHeight="1" x14ac:dyDescent="0.3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</row>
    <row r="320" spans="1:29" ht="14.25" customHeight="1" x14ac:dyDescent="0.3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</row>
    <row r="321" spans="1:29" ht="14.25" customHeight="1" x14ac:dyDescent="0.3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</row>
    <row r="322" spans="1:29" ht="14.25" customHeight="1" x14ac:dyDescent="0.3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</row>
    <row r="323" spans="1:29" ht="14.25" customHeight="1" x14ac:dyDescent="0.3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</row>
    <row r="324" spans="1:29" ht="14.25" customHeight="1" x14ac:dyDescent="0.3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</row>
    <row r="325" spans="1:29" ht="14.25" customHeight="1" x14ac:dyDescent="0.3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</row>
    <row r="326" spans="1:29" ht="14.25" customHeight="1" x14ac:dyDescent="0.3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</row>
    <row r="327" spans="1:29" ht="14.25" customHeight="1" x14ac:dyDescent="0.3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</row>
    <row r="328" spans="1:29" ht="14.25" customHeight="1" x14ac:dyDescent="0.3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</row>
    <row r="329" spans="1:29" ht="14.25" customHeight="1" x14ac:dyDescent="0.3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</row>
    <row r="330" spans="1:29" ht="14.25" customHeight="1" x14ac:dyDescent="0.3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</row>
    <row r="331" spans="1:29" ht="14.25" customHeight="1" x14ac:dyDescent="0.3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</row>
    <row r="332" spans="1:29" ht="14.25" customHeight="1" x14ac:dyDescent="0.3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</row>
    <row r="333" spans="1:29" ht="14.25" customHeight="1" x14ac:dyDescent="0.3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</row>
    <row r="334" spans="1:29" ht="14.25" customHeight="1" x14ac:dyDescent="0.3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</row>
    <row r="335" spans="1:29" ht="14.25" customHeight="1" x14ac:dyDescent="0.3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</row>
    <row r="336" spans="1:29" ht="14.25" customHeight="1" x14ac:dyDescent="0.3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</row>
    <row r="337" spans="1:29" ht="14.25" customHeight="1" x14ac:dyDescent="0.3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</row>
    <row r="338" spans="1:29" ht="14.25" customHeight="1" x14ac:dyDescent="0.3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</row>
    <row r="339" spans="1:29" ht="14.25" customHeight="1" x14ac:dyDescent="0.3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</row>
    <row r="340" spans="1:29" ht="14.25" customHeight="1" x14ac:dyDescent="0.3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</row>
    <row r="341" spans="1:29" ht="14.25" customHeight="1" x14ac:dyDescent="0.3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</row>
    <row r="342" spans="1:29" ht="14.25" customHeight="1" x14ac:dyDescent="0.3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</row>
    <row r="343" spans="1:29" ht="14.25" customHeight="1" x14ac:dyDescent="0.3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</row>
    <row r="344" spans="1:29" ht="14.25" customHeight="1" x14ac:dyDescent="0.3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</row>
    <row r="345" spans="1:29" ht="14.25" customHeight="1" x14ac:dyDescent="0.3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</row>
    <row r="346" spans="1:29" ht="14.25" customHeight="1" x14ac:dyDescent="0.3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</row>
    <row r="347" spans="1:29" ht="14.25" customHeight="1" x14ac:dyDescent="0.3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</row>
    <row r="348" spans="1:29" ht="14.25" customHeight="1" x14ac:dyDescent="0.3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</row>
    <row r="349" spans="1:29" ht="14.25" customHeight="1" x14ac:dyDescent="0.3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</row>
    <row r="350" spans="1:29" ht="14.25" customHeight="1" x14ac:dyDescent="0.3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</row>
    <row r="351" spans="1:29" ht="14.25" customHeight="1" x14ac:dyDescent="0.3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</row>
    <row r="352" spans="1:29" ht="14.25" customHeight="1" x14ac:dyDescent="0.3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</row>
    <row r="353" spans="1:29" ht="14.25" customHeight="1" x14ac:dyDescent="0.3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</row>
    <row r="354" spans="1:29" ht="14.25" customHeight="1" x14ac:dyDescent="0.3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</row>
    <row r="355" spans="1:29" ht="14.25" customHeight="1" x14ac:dyDescent="0.3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</row>
    <row r="356" spans="1:29" ht="14.25" customHeight="1" x14ac:dyDescent="0.3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</row>
    <row r="357" spans="1:29" ht="14.25" customHeight="1" x14ac:dyDescent="0.3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</row>
    <row r="358" spans="1:29" ht="14.25" customHeight="1" x14ac:dyDescent="0.3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</row>
    <row r="359" spans="1:29" ht="14.25" customHeight="1" x14ac:dyDescent="0.3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</row>
    <row r="360" spans="1:29" ht="14.25" customHeight="1" x14ac:dyDescent="0.3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</row>
    <row r="361" spans="1:29" ht="14.25" customHeight="1" x14ac:dyDescent="0.3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</row>
    <row r="362" spans="1:29" ht="14.25" customHeight="1" x14ac:dyDescent="0.3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</row>
    <row r="363" spans="1:29" ht="14.25" customHeight="1" x14ac:dyDescent="0.3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</row>
    <row r="364" spans="1:29" ht="14.25" customHeight="1" x14ac:dyDescent="0.3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</row>
    <row r="365" spans="1:29" ht="14.25" customHeight="1" x14ac:dyDescent="0.3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</row>
    <row r="366" spans="1:29" ht="14.25" customHeight="1" x14ac:dyDescent="0.3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</row>
    <row r="367" spans="1:29" ht="14.25" customHeight="1" x14ac:dyDescent="0.3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</row>
    <row r="368" spans="1:29" ht="14.25" customHeight="1" x14ac:dyDescent="0.3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</row>
    <row r="369" spans="1:29" ht="14.25" customHeight="1" x14ac:dyDescent="0.3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</row>
    <row r="370" spans="1:29" ht="14.25" customHeight="1" x14ac:dyDescent="0.3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</row>
    <row r="371" spans="1:29" ht="14.25" customHeight="1" x14ac:dyDescent="0.3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</row>
    <row r="372" spans="1:29" ht="14.25" customHeight="1" x14ac:dyDescent="0.3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</row>
    <row r="373" spans="1:29" ht="14.25" customHeight="1" x14ac:dyDescent="0.3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</row>
    <row r="374" spans="1:29" ht="14.25" customHeight="1" x14ac:dyDescent="0.3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</row>
    <row r="375" spans="1:29" ht="14.25" customHeight="1" x14ac:dyDescent="0.3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</row>
    <row r="376" spans="1:29" ht="14.25" customHeight="1" x14ac:dyDescent="0.3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</row>
    <row r="377" spans="1:29" ht="14.25" customHeight="1" x14ac:dyDescent="0.3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</row>
    <row r="378" spans="1:29" ht="14.25" customHeight="1" x14ac:dyDescent="0.3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</row>
    <row r="379" spans="1:29" ht="14.25" customHeight="1" x14ac:dyDescent="0.3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</row>
    <row r="380" spans="1:29" ht="14.25" customHeight="1" x14ac:dyDescent="0.3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</row>
    <row r="381" spans="1:29" ht="14.25" customHeight="1" x14ac:dyDescent="0.3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</row>
    <row r="382" spans="1:29" ht="14.25" customHeight="1" x14ac:dyDescent="0.3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</row>
    <row r="383" spans="1:29" ht="14.25" customHeight="1" x14ac:dyDescent="0.3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</row>
    <row r="384" spans="1:29" ht="14.25" customHeight="1" x14ac:dyDescent="0.3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</row>
    <row r="385" spans="1:29" ht="14.25" customHeight="1" x14ac:dyDescent="0.3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</row>
    <row r="386" spans="1:29" ht="14.25" customHeight="1" x14ac:dyDescent="0.3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</row>
    <row r="387" spans="1:29" ht="14.25" customHeight="1" x14ac:dyDescent="0.3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</row>
    <row r="388" spans="1:29" ht="14.25" customHeight="1" x14ac:dyDescent="0.3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</row>
    <row r="389" spans="1:29" ht="14.25" customHeight="1" x14ac:dyDescent="0.3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</row>
    <row r="390" spans="1:29" ht="14.25" customHeight="1" x14ac:dyDescent="0.3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</row>
    <row r="391" spans="1:29" ht="14.25" customHeight="1" x14ac:dyDescent="0.3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</row>
    <row r="392" spans="1:29" ht="14.25" customHeight="1" x14ac:dyDescent="0.3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</row>
    <row r="393" spans="1:29" ht="14.25" customHeight="1" x14ac:dyDescent="0.3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</row>
    <row r="394" spans="1:29" ht="14.25" customHeight="1" x14ac:dyDescent="0.3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</row>
    <row r="395" spans="1:29" ht="14.25" customHeight="1" x14ac:dyDescent="0.3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</row>
    <row r="396" spans="1:29" ht="14.25" customHeight="1" x14ac:dyDescent="0.3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</row>
    <row r="397" spans="1:29" ht="14.25" customHeight="1" x14ac:dyDescent="0.3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</row>
    <row r="398" spans="1:29" ht="14.25" customHeight="1" x14ac:dyDescent="0.3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</row>
    <row r="399" spans="1:29" ht="14.25" customHeight="1" x14ac:dyDescent="0.3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</row>
    <row r="400" spans="1:29" ht="14.25" customHeight="1" x14ac:dyDescent="0.3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</row>
    <row r="401" spans="1:29" ht="14.25" customHeight="1" x14ac:dyDescent="0.3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</row>
    <row r="402" spans="1:29" ht="14.25" customHeight="1" x14ac:dyDescent="0.3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</row>
    <row r="403" spans="1:29" ht="14.25" customHeight="1" x14ac:dyDescent="0.3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</row>
    <row r="404" spans="1:29" ht="14.25" customHeight="1" x14ac:dyDescent="0.3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</row>
    <row r="405" spans="1:29" ht="14.25" customHeight="1" x14ac:dyDescent="0.3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</row>
    <row r="406" spans="1:29" ht="14.25" customHeight="1" x14ac:dyDescent="0.3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</row>
    <row r="407" spans="1:29" ht="14.25" customHeight="1" x14ac:dyDescent="0.3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</row>
    <row r="408" spans="1:29" ht="14.25" customHeight="1" x14ac:dyDescent="0.3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</row>
    <row r="409" spans="1:29" ht="14.25" customHeight="1" x14ac:dyDescent="0.3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</row>
    <row r="410" spans="1:29" ht="14.25" customHeight="1" x14ac:dyDescent="0.3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</row>
    <row r="411" spans="1:29" ht="14.25" customHeight="1" x14ac:dyDescent="0.3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</row>
    <row r="412" spans="1:29" ht="14.25" customHeight="1" x14ac:dyDescent="0.3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</row>
    <row r="413" spans="1:29" ht="14.25" customHeight="1" x14ac:dyDescent="0.3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</row>
    <row r="414" spans="1:29" ht="14.25" customHeight="1" x14ac:dyDescent="0.3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</row>
    <row r="415" spans="1:29" ht="14.25" customHeight="1" x14ac:dyDescent="0.3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</row>
    <row r="416" spans="1:29" ht="14.25" customHeight="1" x14ac:dyDescent="0.3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</row>
    <row r="417" spans="1:29" ht="14.25" customHeight="1" x14ac:dyDescent="0.3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</row>
    <row r="418" spans="1:29" ht="14.25" customHeight="1" x14ac:dyDescent="0.3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</row>
    <row r="419" spans="1:29" ht="14.25" customHeight="1" x14ac:dyDescent="0.3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</row>
    <row r="420" spans="1:29" ht="14.25" customHeight="1" x14ac:dyDescent="0.3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</row>
    <row r="421" spans="1:29" ht="14.25" customHeight="1" x14ac:dyDescent="0.3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</row>
    <row r="422" spans="1:29" ht="14.25" customHeight="1" x14ac:dyDescent="0.3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</row>
    <row r="423" spans="1:29" ht="14.25" customHeight="1" x14ac:dyDescent="0.3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</row>
    <row r="424" spans="1:29" ht="14.25" customHeight="1" x14ac:dyDescent="0.3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</row>
    <row r="425" spans="1:29" ht="14.25" customHeight="1" x14ac:dyDescent="0.3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</row>
    <row r="426" spans="1:29" ht="14.25" customHeight="1" x14ac:dyDescent="0.3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</row>
    <row r="427" spans="1:29" ht="14.25" customHeight="1" x14ac:dyDescent="0.3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</row>
    <row r="428" spans="1:29" ht="14.25" customHeight="1" x14ac:dyDescent="0.3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</row>
    <row r="429" spans="1:29" ht="14.25" customHeight="1" x14ac:dyDescent="0.3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</row>
    <row r="430" spans="1:29" ht="14.25" customHeight="1" x14ac:dyDescent="0.3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</row>
    <row r="431" spans="1:29" ht="14.25" customHeight="1" x14ac:dyDescent="0.3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</row>
    <row r="432" spans="1:29" ht="14.25" customHeight="1" x14ac:dyDescent="0.3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</row>
    <row r="433" spans="1:29" ht="14.25" customHeight="1" x14ac:dyDescent="0.3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</row>
    <row r="434" spans="1:29" ht="14.25" customHeight="1" x14ac:dyDescent="0.3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</row>
    <row r="435" spans="1:29" ht="14.25" customHeight="1" x14ac:dyDescent="0.3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</row>
    <row r="436" spans="1:29" ht="14.25" customHeight="1" x14ac:dyDescent="0.3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</row>
    <row r="437" spans="1:29" ht="14.25" customHeight="1" x14ac:dyDescent="0.3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</row>
    <row r="438" spans="1:29" ht="14.25" customHeight="1" x14ac:dyDescent="0.3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</row>
    <row r="439" spans="1:29" ht="14.25" customHeight="1" x14ac:dyDescent="0.3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</row>
    <row r="440" spans="1:29" ht="14.25" customHeight="1" x14ac:dyDescent="0.3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</row>
    <row r="441" spans="1:29" ht="14.25" customHeight="1" x14ac:dyDescent="0.3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</row>
    <row r="442" spans="1:29" ht="14.25" customHeight="1" x14ac:dyDescent="0.3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</row>
    <row r="443" spans="1:29" ht="14.25" customHeight="1" x14ac:dyDescent="0.3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</row>
    <row r="444" spans="1:29" ht="14.25" customHeight="1" x14ac:dyDescent="0.3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</row>
    <row r="445" spans="1:29" ht="14.25" customHeight="1" x14ac:dyDescent="0.3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</row>
    <row r="446" spans="1:29" ht="14.25" customHeight="1" x14ac:dyDescent="0.3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</row>
    <row r="447" spans="1:29" ht="14.25" customHeight="1" x14ac:dyDescent="0.3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</row>
    <row r="448" spans="1:29" ht="14.25" customHeight="1" x14ac:dyDescent="0.3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</row>
    <row r="449" spans="1:29" ht="14.25" customHeight="1" x14ac:dyDescent="0.3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</row>
    <row r="450" spans="1:29" ht="14.25" customHeight="1" x14ac:dyDescent="0.3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</row>
    <row r="451" spans="1:29" ht="14.25" customHeight="1" x14ac:dyDescent="0.3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</row>
    <row r="452" spans="1:29" ht="14.25" customHeight="1" x14ac:dyDescent="0.3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</row>
    <row r="453" spans="1:29" ht="14.25" customHeight="1" x14ac:dyDescent="0.3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</row>
    <row r="454" spans="1:29" ht="14.25" customHeight="1" x14ac:dyDescent="0.3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</row>
    <row r="455" spans="1:29" ht="14.25" customHeight="1" x14ac:dyDescent="0.3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</row>
    <row r="456" spans="1:29" ht="14.25" customHeight="1" x14ac:dyDescent="0.3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</row>
    <row r="457" spans="1:29" ht="14.25" customHeight="1" x14ac:dyDescent="0.3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</row>
    <row r="458" spans="1:29" ht="14.25" customHeight="1" x14ac:dyDescent="0.3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</row>
    <row r="459" spans="1:29" ht="14.25" customHeight="1" x14ac:dyDescent="0.3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</row>
    <row r="460" spans="1:29" ht="14.25" customHeight="1" x14ac:dyDescent="0.3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</row>
    <row r="461" spans="1:29" ht="14.25" customHeight="1" x14ac:dyDescent="0.3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</row>
    <row r="462" spans="1:29" ht="14.25" customHeight="1" x14ac:dyDescent="0.3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</row>
    <row r="463" spans="1:29" ht="14.25" customHeight="1" x14ac:dyDescent="0.3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</row>
    <row r="464" spans="1:29" ht="14.25" customHeight="1" x14ac:dyDescent="0.3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</row>
    <row r="465" spans="1:29" ht="14.25" customHeight="1" x14ac:dyDescent="0.3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</row>
    <row r="466" spans="1:29" ht="14.25" customHeight="1" x14ac:dyDescent="0.3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</row>
    <row r="467" spans="1:29" ht="14.25" customHeight="1" x14ac:dyDescent="0.3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</row>
    <row r="468" spans="1:29" ht="14.25" customHeight="1" x14ac:dyDescent="0.3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</row>
    <row r="469" spans="1:29" ht="14.25" customHeight="1" x14ac:dyDescent="0.3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</row>
    <row r="470" spans="1:29" ht="14.25" customHeight="1" x14ac:dyDescent="0.3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</row>
    <row r="471" spans="1:29" ht="14.25" customHeight="1" x14ac:dyDescent="0.3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</row>
    <row r="472" spans="1:29" ht="14.25" customHeight="1" x14ac:dyDescent="0.3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</row>
    <row r="473" spans="1:29" ht="14.25" customHeight="1" x14ac:dyDescent="0.3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</row>
    <row r="474" spans="1:29" ht="14.25" customHeight="1" x14ac:dyDescent="0.3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</row>
    <row r="475" spans="1:29" ht="14.25" customHeight="1" x14ac:dyDescent="0.3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</row>
    <row r="476" spans="1:29" ht="14.25" customHeight="1" x14ac:dyDescent="0.3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</row>
    <row r="477" spans="1:29" ht="14.25" customHeight="1" x14ac:dyDescent="0.3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</row>
    <row r="478" spans="1:29" ht="14.25" customHeight="1" x14ac:dyDescent="0.3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</row>
    <row r="479" spans="1:29" ht="14.25" customHeight="1" x14ac:dyDescent="0.3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</row>
    <row r="480" spans="1:29" ht="14.25" customHeight="1" x14ac:dyDescent="0.3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</row>
    <row r="481" spans="1:29" ht="14.25" customHeight="1" x14ac:dyDescent="0.3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</row>
    <row r="482" spans="1:29" ht="14.25" customHeight="1" x14ac:dyDescent="0.3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</row>
    <row r="483" spans="1:29" ht="14.25" customHeight="1" x14ac:dyDescent="0.3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</row>
    <row r="484" spans="1:29" ht="14.25" customHeight="1" x14ac:dyDescent="0.3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</row>
    <row r="485" spans="1:29" ht="14.25" customHeight="1" x14ac:dyDescent="0.3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</row>
    <row r="486" spans="1:29" ht="14.25" customHeight="1" x14ac:dyDescent="0.3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</row>
    <row r="487" spans="1:29" ht="14.25" customHeight="1" x14ac:dyDescent="0.3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</row>
    <row r="488" spans="1:29" ht="14.25" customHeight="1" x14ac:dyDescent="0.3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</row>
    <row r="489" spans="1:29" ht="14.25" customHeight="1" x14ac:dyDescent="0.3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</row>
    <row r="490" spans="1:29" ht="14.25" customHeight="1" x14ac:dyDescent="0.3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</row>
    <row r="491" spans="1:29" ht="14.25" customHeight="1" x14ac:dyDescent="0.3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</row>
    <row r="492" spans="1:29" ht="14.25" customHeight="1" x14ac:dyDescent="0.3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</row>
    <row r="493" spans="1:29" ht="14.25" customHeight="1" x14ac:dyDescent="0.3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</row>
    <row r="494" spans="1:29" ht="14.25" customHeight="1" x14ac:dyDescent="0.3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</row>
    <row r="495" spans="1:29" ht="14.25" customHeight="1" x14ac:dyDescent="0.3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</row>
    <row r="496" spans="1:29" ht="14.25" customHeight="1" x14ac:dyDescent="0.3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</row>
    <row r="497" spans="1:29" ht="14.25" customHeight="1" x14ac:dyDescent="0.3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</row>
    <row r="498" spans="1:29" ht="14.25" customHeight="1" x14ac:dyDescent="0.3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</row>
    <row r="499" spans="1:29" ht="14.25" customHeight="1" x14ac:dyDescent="0.3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</row>
    <row r="500" spans="1:29" ht="14.25" customHeight="1" x14ac:dyDescent="0.3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</row>
    <row r="501" spans="1:29" ht="14.25" customHeight="1" x14ac:dyDescent="0.3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</row>
    <row r="502" spans="1:29" ht="14.25" customHeight="1" x14ac:dyDescent="0.3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</row>
    <row r="503" spans="1:29" ht="14.25" customHeight="1" x14ac:dyDescent="0.3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</row>
    <row r="504" spans="1:29" ht="14.25" customHeight="1" x14ac:dyDescent="0.3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</row>
    <row r="505" spans="1:29" ht="14.25" customHeight="1" x14ac:dyDescent="0.3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</row>
    <row r="506" spans="1:29" ht="14.25" customHeight="1" x14ac:dyDescent="0.3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</row>
    <row r="507" spans="1:29" ht="14.25" customHeight="1" x14ac:dyDescent="0.3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</row>
    <row r="508" spans="1:29" ht="14.25" customHeight="1" x14ac:dyDescent="0.3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</row>
    <row r="509" spans="1:29" ht="14.25" customHeight="1" x14ac:dyDescent="0.3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</row>
    <row r="510" spans="1:29" ht="14.25" customHeight="1" x14ac:dyDescent="0.3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</row>
    <row r="511" spans="1:29" ht="14.25" customHeight="1" x14ac:dyDescent="0.3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</row>
    <row r="512" spans="1:29" ht="14.25" customHeight="1" x14ac:dyDescent="0.3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</row>
    <row r="513" spans="1:29" ht="14.25" customHeight="1" x14ac:dyDescent="0.3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</row>
    <row r="514" spans="1:29" ht="14.25" customHeight="1" x14ac:dyDescent="0.3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</row>
    <row r="515" spans="1:29" ht="14.25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</row>
    <row r="516" spans="1:29" ht="14.25" customHeight="1" x14ac:dyDescent="0.3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</row>
    <row r="517" spans="1:29" ht="14.25" customHeight="1" x14ac:dyDescent="0.3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</row>
    <row r="518" spans="1:29" ht="14.25" customHeight="1" x14ac:dyDescent="0.3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</row>
    <row r="519" spans="1:29" ht="14.25" customHeight="1" x14ac:dyDescent="0.3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</row>
    <row r="520" spans="1:29" ht="14.25" customHeight="1" x14ac:dyDescent="0.3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</row>
    <row r="521" spans="1:29" ht="14.25" customHeight="1" x14ac:dyDescent="0.3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</row>
    <row r="522" spans="1:29" ht="14.25" customHeight="1" x14ac:dyDescent="0.3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</row>
    <row r="523" spans="1:29" ht="14.25" customHeight="1" x14ac:dyDescent="0.3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</row>
    <row r="524" spans="1:29" ht="14.25" customHeight="1" x14ac:dyDescent="0.3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</row>
    <row r="525" spans="1:29" ht="14.25" customHeight="1" x14ac:dyDescent="0.3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</row>
    <row r="526" spans="1:29" ht="14.25" customHeight="1" x14ac:dyDescent="0.3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</row>
    <row r="527" spans="1:29" ht="14.25" customHeight="1" x14ac:dyDescent="0.3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</row>
    <row r="528" spans="1:29" ht="14.25" customHeight="1" x14ac:dyDescent="0.3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</row>
    <row r="529" spans="1:29" ht="14.25" customHeight="1" x14ac:dyDescent="0.3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</row>
    <row r="530" spans="1:29" ht="14.25" customHeight="1" x14ac:dyDescent="0.3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</row>
    <row r="531" spans="1:29" ht="14.25" customHeight="1" x14ac:dyDescent="0.3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</row>
    <row r="532" spans="1:29" ht="14.25" customHeight="1" x14ac:dyDescent="0.3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</row>
    <row r="533" spans="1:29" ht="14.25" customHeight="1" x14ac:dyDescent="0.3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</row>
    <row r="534" spans="1:29" ht="14.25" customHeight="1" x14ac:dyDescent="0.3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</row>
    <row r="535" spans="1:29" ht="14.25" customHeight="1" x14ac:dyDescent="0.3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</row>
    <row r="536" spans="1:29" ht="14.25" customHeight="1" x14ac:dyDescent="0.3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</row>
    <row r="537" spans="1:29" ht="14.25" customHeight="1" x14ac:dyDescent="0.3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</row>
    <row r="538" spans="1:29" ht="14.25" customHeight="1" x14ac:dyDescent="0.3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</row>
    <row r="539" spans="1:29" ht="14.25" customHeight="1" x14ac:dyDescent="0.3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</row>
    <row r="540" spans="1:29" ht="14.25" customHeight="1" x14ac:dyDescent="0.3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</row>
    <row r="541" spans="1:29" ht="14.25" customHeight="1" x14ac:dyDescent="0.3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</row>
    <row r="542" spans="1:29" ht="14.25" customHeight="1" x14ac:dyDescent="0.3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</row>
    <row r="543" spans="1:29" ht="14.25" customHeight="1" x14ac:dyDescent="0.3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</row>
    <row r="544" spans="1:29" ht="14.25" customHeight="1" x14ac:dyDescent="0.3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</row>
    <row r="545" spans="1:29" ht="14.25" customHeight="1" x14ac:dyDescent="0.3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</row>
    <row r="546" spans="1:29" ht="14.25" customHeight="1" x14ac:dyDescent="0.3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</row>
    <row r="547" spans="1:29" ht="14.25" customHeight="1" x14ac:dyDescent="0.3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</row>
    <row r="548" spans="1:29" ht="14.25" customHeight="1" x14ac:dyDescent="0.3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</row>
    <row r="549" spans="1:29" ht="14.25" customHeight="1" x14ac:dyDescent="0.3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</row>
    <row r="550" spans="1:29" ht="14.25" customHeight="1" x14ac:dyDescent="0.3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</row>
    <row r="551" spans="1:29" ht="14.25" customHeight="1" x14ac:dyDescent="0.3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</row>
    <row r="552" spans="1:29" ht="14.25" customHeight="1" x14ac:dyDescent="0.3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</row>
    <row r="553" spans="1:29" ht="14.25" customHeight="1" x14ac:dyDescent="0.3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</row>
    <row r="554" spans="1:29" ht="14.25" customHeight="1" x14ac:dyDescent="0.3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</row>
    <row r="555" spans="1:29" ht="14.25" customHeight="1" x14ac:dyDescent="0.3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</row>
    <row r="556" spans="1:29" ht="14.25" customHeight="1" x14ac:dyDescent="0.3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</row>
    <row r="557" spans="1:29" ht="14.25" customHeight="1" x14ac:dyDescent="0.3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</row>
    <row r="558" spans="1:29" ht="14.25" customHeight="1" x14ac:dyDescent="0.3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</row>
    <row r="559" spans="1:29" ht="14.25" customHeight="1" x14ac:dyDescent="0.3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</row>
    <row r="560" spans="1:29" ht="14.25" customHeight="1" x14ac:dyDescent="0.3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</row>
    <row r="561" spans="1:29" ht="14.25" customHeight="1" x14ac:dyDescent="0.3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</row>
    <row r="562" spans="1:29" ht="14.25" customHeight="1" x14ac:dyDescent="0.3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</row>
    <row r="563" spans="1:29" ht="14.25" customHeight="1" x14ac:dyDescent="0.3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</row>
    <row r="564" spans="1:29" ht="14.25" customHeight="1" x14ac:dyDescent="0.3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</row>
    <row r="565" spans="1:29" ht="14.25" customHeight="1" x14ac:dyDescent="0.3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</row>
    <row r="566" spans="1:29" ht="14.25" customHeight="1" x14ac:dyDescent="0.3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</row>
    <row r="567" spans="1:29" ht="14.25" customHeight="1" x14ac:dyDescent="0.3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</row>
    <row r="568" spans="1:29" ht="14.25" customHeight="1" x14ac:dyDescent="0.3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</row>
    <row r="569" spans="1:29" ht="14.25" customHeight="1" x14ac:dyDescent="0.3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</row>
    <row r="570" spans="1:29" ht="14.25" customHeight="1" x14ac:dyDescent="0.3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</row>
    <row r="571" spans="1:29" ht="14.25" customHeight="1" x14ac:dyDescent="0.3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</row>
    <row r="572" spans="1:29" ht="14.25" customHeight="1" x14ac:dyDescent="0.3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</row>
    <row r="573" spans="1:29" ht="14.25" customHeight="1" x14ac:dyDescent="0.3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</row>
    <row r="574" spans="1:29" ht="14.25" customHeight="1" x14ac:dyDescent="0.3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</row>
    <row r="575" spans="1:29" ht="14.25" customHeight="1" x14ac:dyDescent="0.3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</row>
    <row r="576" spans="1:29" ht="14.25" customHeight="1" x14ac:dyDescent="0.3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</row>
    <row r="577" spans="1:29" ht="14.25" customHeight="1" x14ac:dyDescent="0.3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</row>
    <row r="578" spans="1:29" ht="14.25" customHeight="1" x14ac:dyDescent="0.3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</row>
    <row r="579" spans="1:29" ht="14.25" customHeight="1" x14ac:dyDescent="0.3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</row>
    <row r="580" spans="1:29" ht="14.25" customHeight="1" x14ac:dyDescent="0.3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</row>
    <row r="581" spans="1:29" ht="14.25" customHeight="1" x14ac:dyDescent="0.3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</row>
    <row r="582" spans="1:29" ht="14.25" customHeight="1" x14ac:dyDescent="0.3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</row>
    <row r="583" spans="1:29" ht="14.25" customHeight="1" x14ac:dyDescent="0.3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</row>
    <row r="584" spans="1:29" ht="14.25" customHeight="1" x14ac:dyDescent="0.3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</row>
    <row r="585" spans="1:29" ht="14.25" customHeight="1" x14ac:dyDescent="0.3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</row>
    <row r="586" spans="1:29" ht="14.25" customHeight="1" x14ac:dyDescent="0.3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</row>
    <row r="587" spans="1:29" ht="14.25" customHeight="1" x14ac:dyDescent="0.3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</row>
    <row r="588" spans="1:29" ht="14.25" customHeight="1" x14ac:dyDescent="0.3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</row>
    <row r="589" spans="1:29" ht="14.25" customHeight="1" x14ac:dyDescent="0.3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</row>
    <row r="590" spans="1:29" ht="14.25" customHeight="1" x14ac:dyDescent="0.3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</row>
    <row r="591" spans="1:29" ht="14.25" customHeight="1" x14ac:dyDescent="0.3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</row>
    <row r="592" spans="1:29" ht="14.25" customHeight="1" x14ac:dyDescent="0.3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</row>
    <row r="593" spans="1:29" ht="14.25" customHeight="1" x14ac:dyDescent="0.3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</row>
    <row r="594" spans="1:29" ht="14.25" customHeight="1" x14ac:dyDescent="0.3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</row>
    <row r="595" spans="1:29" ht="14.25" customHeight="1" x14ac:dyDescent="0.3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</row>
    <row r="596" spans="1:29" ht="14.25" customHeight="1" x14ac:dyDescent="0.3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</row>
    <row r="597" spans="1:29" ht="14.25" customHeight="1" x14ac:dyDescent="0.3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</row>
    <row r="598" spans="1:29" ht="14.25" customHeight="1" x14ac:dyDescent="0.3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</row>
    <row r="599" spans="1:29" ht="14.25" customHeight="1" x14ac:dyDescent="0.3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</row>
    <row r="600" spans="1:29" ht="14.25" customHeight="1" x14ac:dyDescent="0.3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</row>
    <row r="601" spans="1:29" ht="14.25" customHeight="1" x14ac:dyDescent="0.3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</row>
    <row r="602" spans="1:29" ht="14.25" customHeight="1" x14ac:dyDescent="0.3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</row>
    <row r="603" spans="1:29" ht="14.25" customHeight="1" x14ac:dyDescent="0.3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</row>
    <row r="604" spans="1:29" ht="14.25" customHeight="1" x14ac:dyDescent="0.3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</row>
    <row r="605" spans="1:29" ht="14.25" customHeight="1" x14ac:dyDescent="0.3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</row>
    <row r="606" spans="1:29" ht="14.25" customHeight="1" x14ac:dyDescent="0.3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</row>
    <row r="607" spans="1:29" ht="14.25" customHeight="1" x14ac:dyDescent="0.3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</row>
    <row r="608" spans="1:29" ht="14.25" customHeight="1" x14ac:dyDescent="0.3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</row>
    <row r="609" spans="1:29" ht="14.25" customHeight="1" x14ac:dyDescent="0.3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</row>
    <row r="610" spans="1:29" ht="14.25" customHeight="1" x14ac:dyDescent="0.3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</row>
    <row r="611" spans="1:29" ht="14.25" customHeight="1" x14ac:dyDescent="0.3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</row>
    <row r="612" spans="1:29" ht="14.25" customHeight="1" x14ac:dyDescent="0.3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</row>
    <row r="613" spans="1:29" ht="14.25" customHeight="1" x14ac:dyDescent="0.3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</row>
    <row r="614" spans="1:29" ht="14.25" customHeight="1" x14ac:dyDescent="0.3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</row>
    <row r="615" spans="1:29" ht="14.25" customHeight="1" x14ac:dyDescent="0.3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</row>
    <row r="616" spans="1:29" ht="14.25" customHeight="1" x14ac:dyDescent="0.3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</row>
    <row r="617" spans="1:29" ht="14.25" customHeight="1" x14ac:dyDescent="0.3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</row>
    <row r="618" spans="1:29" ht="14.25" customHeight="1" x14ac:dyDescent="0.3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</row>
    <row r="619" spans="1:29" ht="14.25" customHeight="1" x14ac:dyDescent="0.3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</row>
    <row r="620" spans="1:29" ht="14.25" customHeight="1" x14ac:dyDescent="0.3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</row>
    <row r="621" spans="1:29" ht="14.25" customHeight="1" x14ac:dyDescent="0.3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</row>
    <row r="622" spans="1:29" ht="14.25" customHeight="1" x14ac:dyDescent="0.3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</row>
    <row r="623" spans="1:29" ht="14.25" customHeight="1" x14ac:dyDescent="0.3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</row>
    <row r="624" spans="1:29" ht="14.25" customHeight="1" x14ac:dyDescent="0.3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</row>
    <row r="625" spans="1:29" ht="14.25" customHeight="1" x14ac:dyDescent="0.3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</row>
    <row r="626" spans="1:29" ht="14.25" customHeight="1" x14ac:dyDescent="0.3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</row>
    <row r="627" spans="1:29" ht="14.25" customHeight="1" x14ac:dyDescent="0.3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</row>
    <row r="628" spans="1:29" ht="14.25" customHeight="1" x14ac:dyDescent="0.3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</row>
    <row r="629" spans="1:29" ht="14.25" customHeight="1" x14ac:dyDescent="0.3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</row>
    <row r="630" spans="1:29" ht="14.25" customHeight="1" x14ac:dyDescent="0.3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</row>
    <row r="631" spans="1:29" ht="14.25" customHeight="1" x14ac:dyDescent="0.3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</row>
    <row r="632" spans="1:29" ht="14.25" customHeight="1" x14ac:dyDescent="0.3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</row>
    <row r="633" spans="1:29" ht="14.25" customHeight="1" x14ac:dyDescent="0.3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</row>
    <row r="634" spans="1:29" ht="14.25" customHeight="1" x14ac:dyDescent="0.3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</row>
    <row r="635" spans="1:29" ht="14.25" customHeight="1" x14ac:dyDescent="0.3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</row>
    <row r="636" spans="1:29" ht="14.25" customHeight="1" x14ac:dyDescent="0.3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</row>
    <row r="637" spans="1:29" ht="14.25" customHeight="1" x14ac:dyDescent="0.3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</row>
    <row r="638" spans="1:29" ht="14.25" customHeight="1" x14ac:dyDescent="0.3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</row>
    <row r="639" spans="1:29" ht="14.25" customHeight="1" x14ac:dyDescent="0.3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</row>
    <row r="640" spans="1:29" ht="14.25" customHeight="1" x14ac:dyDescent="0.3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</row>
    <row r="641" spans="1:29" ht="14.25" customHeight="1" x14ac:dyDescent="0.3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</row>
    <row r="642" spans="1:29" ht="14.25" customHeight="1" x14ac:dyDescent="0.3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</row>
    <row r="643" spans="1:29" ht="14.25" customHeight="1" x14ac:dyDescent="0.3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</row>
    <row r="644" spans="1:29" ht="14.25" customHeight="1" x14ac:dyDescent="0.3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</row>
    <row r="645" spans="1:29" ht="14.25" customHeight="1" x14ac:dyDescent="0.3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</row>
    <row r="646" spans="1:29" ht="14.25" customHeight="1" x14ac:dyDescent="0.3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</row>
    <row r="647" spans="1:29" ht="14.25" customHeight="1" x14ac:dyDescent="0.3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</row>
    <row r="648" spans="1:29" ht="14.25" customHeight="1" x14ac:dyDescent="0.3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</row>
    <row r="649" spans="1:29" ht="14.25" customHeight="1" x14ac:dyDescent="0.3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</row>
    <row r="650" spans="1:29" ht="14.25" customHeight="1" x14ac:dyDescent="0.3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</row>
    <row r="651" spans="1:29" ht="14.25" customHeight="1" x14ac:dyDescent="0.3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</row>
    <row r="652" spans="1:29" ht="14.25" customHeight="1" x14ac:dyDescent="0.3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</row>
    <row r="653" spans="1:29" ht="14.25" customHeight="1" x14ac:dyDescent="0.3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</row>
    <row r="654" spans="1:29" ht="14.25" customHeight="1" x14ac:dyDescent="0.3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</row>
    <row r="655" spans="1:29" ht="14.25" customHeight="1" x14ac:dyDescent="0.3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</row>
    <row r="656" spans="1:29" ht="14.25" customHeight="1" x14ac:dyDescent="0.3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</row>
    <row r="657" spans="1:29" ht="14.25" customHeight="1" x14ac:dyDescent="0.3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</row>
    <row r="658" spans="1:29" ht="14.25" customHeight="1" x14ac:dyDescent="0.3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</row>
    <row r="659" spans="1:29" ht="14.25" customHeight="1" x14ac:dyDescent="0.3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</row>
    <row r="660" spans="1:29" ht="14.25" customHeight="1" x14ac:dyDescent="0.3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</row>
    <row r="661" spans="1:29" ht="14.25" customHeight="1" x14ac:dyDescent="0.3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</row>
    <row r="662" spans="1:29" ht="14.25" customHeight="1" x14ac:dyDescent="0.3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</row>
    <row r="663" spans="1:29" ht="14.25" customHeight="1" x14ac:dyDescent="0.3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</row>
    <row r="664" spans="1:29" ht="14.25" customHeight="1" x14ac:dyDescent="0.3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</row>
    <row r="665" spans="1:29" ht="14.25" customHeight="1" x14ac:dyDescent="0.3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</row>
    <row r="666" spans="1:29" ht="14.25" customHeight="1" x14ac:dyDescent="0.3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</row>
    <row r="667" spans="1:29" ht="14.25" customHeight="1" x14ac:dyDescent="0.3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</row>
    <row r="668" spans="1:29" ht="14.25" customHeight="1" x14ac:dyDescent="0.3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</row>
    <row r="669" spans="1:29" ht="14.25" customHeight="1" x14ac:dyDescent="0.3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</row>
    <row r="670" spans="1:29" ht="14.25" customHeight="1" x14ac:dyDescent="0.3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</row>
    <row r="671" spans="1:29" ht="14.25" customHeight="1" x14ac:dyDescent="0.3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</row>
    <row r="672" spans="1:29" ht="14.25" customHeight="1" x14ac:dyDescent="0.3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</row>
    <row r="673" spans="1:29" ht="14.25" customHeight="1" x14ac:dyDescent="0.3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</row>
    <row r="674" spans="1:29" ht="14.25" customHeight="1" x14ac:dyDescent="0.3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</row>
    <row r="675" spans="1:29" ht="14.25" customHeight="1" x14ac:dyDescent="0.3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</row>
    <row r="676" spans="1:29" ht="14.25" customHeight="1" x14ac:dyDescent="0.3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</row>
    <row r="677" spans="1:29" ht="14.25" customHeight="1" x14ac:dyDescent="0.3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</row>
    <row r="678" spans="1:29" ht="14.25" customHeight="1" x14ac:dyDescent="0.3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</row>
    <row r="679" spans="1:29" ht="14.25" customHeight="1" x14ac:dyDescent="0.3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</row>
    <row r="680" spans="1:29" ht="14.25" customHeight="1" x14ac:dyDescent="0.3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</row>
    <row r="681" spans="1:29" ht="14.25" customHeight="1" x14ac:dyDescent="0.3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</row>
    <row r="682" spans="1:29" ht="14.25" customHeight="1" x14ac:dyDescent="0.3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</row>
    <row r="683" spans="1:29" ht="14.25" customHeight="1" x14ac:dyDescent="0.3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</row>
    <row r="684" spans="1:29" ht="14.25" customHeight="1" x14ac:dyDescent="0.3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</row>
    <row r="685" spans="1:29" ht="14.25" customHeight="1" x14ac:dyDescent="0.3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</row>
    <row r="686" spans="1:29" ht="14.25" customHeight="1" x14ac:dyDescent="0.3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</row>
    <row r="687" spans="1:29" ht="14.25" customHeight="1" x14ac:dyDescent="0.3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</row>
    <row r="688" spans="1:29" ht="14.25" customHeight="1" x14ac:dyDescent="0.3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</row>
    <row r="689" spans="1:29" ht="14.25" customHeight="1" x14ac:dyDescent="0.3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</row>
    <row r="690" spans="1:29" ht="14.25" customHeight="1" x14ac:dyDescent="0.3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</row>
    <row r="691" spans="1:29" ht="14.25" customHeight="1" x14ac:dyDescent="0.3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</row>
    <row r="692" spans="1:29" ht="14.25" customHeight="1" x14ac:dyDescent="0.3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</row>
    <row r="693" spans="1:29" ht="14.25" customHeight="1" x14ac:dyDescent="0.3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</row>
    <row r="694" spans="1:29" ht="14.25" customHeight="1" x14ac:dyDescent="0.3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</row>
    <row r="695" spans="1:29" ht="14.25" customHeight="1" x14ac:dyDescent="0.3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</row>
    <row r="696" spans="1:29" ht="14.25" customHeight="1" x14ac:dyDescent="0.3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</row>
    <row r="697" spans="1:29" ht="14.25" customHeight="1" x14ac:dyDescent="0.3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</row>
    <row r="698" spans="1:29" ht="14.25" customHeight="1" x14ac:dyDescent="0.3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</row>
    <row r="699" spans="1:29" ht="14.25" customHeight="1" x14ac:dyDescent="0.3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</row>
    <row r="700" spans="1:29" ht="14.25" customHeight="1" x14ac:dyDescent="0.3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</row>
    <row r="701" spans="1:29" ht="14.25" customHeight="1" x14ac:dyDescent="0.3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</row>
    <row r="702" spans="1:29" ht="14.25" customHeight="1" x14ac:dyDescent="0.3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</row>
    <row r="703" spans="1:29" ht="14.25" customHeight="1" x14ac:dyDescent="0.3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</row>
    <row r="704" spans="1:29" ht="14.25" customHeight="1" x14ac:dyDescent="0.3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</row>
    <row r="705" spans="1:29" ht="14.25" customHeight="1" x14ac:dyDescent="0.3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</row>
    <row r="706" spans="1:29" ht="14.25" customHeight="1" x14ac:dyDescent="0.3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</row>
    <row r="707" spans="1:29" ht="14.25" customHeight="1" x14ac:dyDescent="0.3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</row>
    <row r="708" spans="1:29" ht="14.25" customHeight="1" x14ac:dyDescent="0.3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</row>
    <row r="709" spans="1:29" ht="14.25" customHeight="1" x14ac:dyDescent="0.3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</row>
    <row r="710" spans="1:29" ht="14.25" customHeight="1" x14ac:dyDescent="0.3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</row>
    <row r="711" spans="1:29" ht="14.25" customHeight="1" x14ac:dyDescent="0.3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</row>
    <row r="712" spans="1:29" ht="14.25" customHeight="1" x14ac:dyDescent="0.3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</row>
    <row r="713" spans="1:29" ht="14.25" customHeight="1" x14ac:dyDescent="0.3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</row>
    <row r="714" spans="1:29" ht="14.25" customHeight="1" x14ac:dyDescent="0.3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</row>
    <row r="715" spans="1:29" ht="14.25" customHeight="1" x14ac:dyDescent="0.3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</row>
    <row r="716" spans="1:29" ht="14.25" customHeight="1" x14ac:dyDescent="0.3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</row>
    <row r="717" spans="1:29" ht="14.25" customHeight="1" x14ac:dyDescent="0.3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</row>
    <row r="718" spans="1:29" ht="14.25" customHeight="1" x14ac:dyDescent="0.3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</row>
    <row r="719" spans="1:29" ht="14.25" customHeight="1" x14ac:dyDescent="0.3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</row>
    <row r="720" spans="1:29" ht="14.25" customHeight="1" x14ac:dyDescent="0.3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</row>
    <row r="721" spans="1:29" ht="14.25" customHeight="1" x14ac:dyDescent="0.3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</row>
    <row r="722" spans="1:29" ht="14.25" customHeight="1" x14ac:dyDescent="0.3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</row>
    <row r="723" spans="1:29" ht="14.25" customHeight="1" x14ac:dyDescent="0.3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</row>
    <row r="724" spans="1:29" ht="14.25" customHeight="1" x14ac:dyDescent="0.3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</row>
    <row r="725" spans="1:29" ht="14.25" customHeight="1" x14ac:dyDescent="0.3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</row>
    <row r="726" spans="1:29" ht="14.25" customHeight="1" x14ac:dyDescent="0.3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</row>
    <row r="727" spans="1:29" ht="14.25" customHeight="1" x14ac:dyDescent="0.3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</row>
    <row r="728" spans="1:29" ht="14.25" customHeight="1" x14ac:dyDescent="0.3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</row>
    <row r="729" spans="1:29" ht="14.25" customHeight="1" x14ac:dyDescent="0.3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</row>
    <row r="730" spans="1:29" ht="14.25" customHeight="1" x14ac:dyDescent="0.3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</row>
    <row r="731" spans="1:29" ht="14.25" customHeight="1" x14ac:dyDescent="0.3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</row>
    <row r="732" spans="1:29" ht="14.25" customHeight="1" x14ac:dyDescent="0.3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</row>
    <row r="733" spans="1:29" ht="14.25" customHeight="1" x14ac:dyDescent="0.3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</row>
    <row r="734" spans="1:29" ht="14.25" customHeight="1" x14ac:dyDescent="0.3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</row>
    <row r="735" spans="1:29" ht="14.25" customHeight="1" x14ac:dyDescent="0.3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</row>
    <row r="736" spans="1:29" ht="14.25" customHeight="1" x14ac:dyDescent="0.3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</row>
    <row r="737" spans="1:29" ht="14.25" customHeight="1" x14ac:dyDescent="0.3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</row>
    <row r="738" spans="1:29" ht="14.25" customHeight="1" x14ac:dyDescent="0.3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</row>
    <row r="739" spans="1:29" ht="14.25" customHeight="1" x14ac:dyDescent="0.3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</row>
    <row r="740" spans="1:29" ht="14.25" customHeight="1" x14ac:dyDescent="0.3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</row>
    <row r="741" spans="1:29" ht="14.25" customHeight="1" x14ac:dyDescent="0.3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</row>
    <row r="742" spans="1:29" ht="14.25" customHeight="1" x14ac:dyDescent="0.3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</row>
    <row r="743" spans="1:29" ht="14.25" customHeight="1" x14ac:dyDescent="0.3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</row>
    <row r="744" spans="1:29" ht="14.25" customHeight="1" x14ac:dyDescent="0.3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</row>
    <row r="745" spans="1:29" ht="14.25" customHeight="1" x14ac:dyDescent="0.3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</row>
    <row r="746" spans="1:29" ht="14.25" customHeight="1" x14ac:dyDescent="0.3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</row>
    <row r="747" spans="1:29" ht="14.25" customHeight="1" x14ac:dyDescent="0.3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</row>
    <row r="748" spans="1:29" ht="14.25" customHeight="1" x14ac:dyDescent="0.3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</row>
    <row r="749" spans="1:29" ht="14.25" customHeight="1" x14ac:dyDescent="0.3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</row>
    <row r="750" spans="1:29" ht="14.25" customHeight="1" x14ac:dyDescent="0.3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</row>
    <row r="751" spans="1:29" ht="14.25" customHeight="1" x14ac:dyDescent="0.3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</row>
    <row r="752" spans="1:29" ht="14.25" customHeight="1" x14ac:dyDescent="0.3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</row>
    <row r="753" spans="1:29" ht="14.25" customHeight="1" x14ac:dyDescent="0.3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</row>
    <row r="754" spans="1:29" ht="14.25" customHeight="1" x14ac:dyDescent="0.3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</row>
    <row r="755" spans="1:29" ht="14.25" customHeight="1" x14ac:dyDescent="0.3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</row>
    <row r="756" spans="1:29" ht="14.25" customHeight="1" x14ac:dyDescent="0.3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</row>
    <row r="757" spans="1:29" ht="14.25" customHeight="1" x14ac:dyDescent="0.3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</row>
    <row r="758" spans="1:29" ht="14.25" customHeight="1" x14ac:dyDescent="0.3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</row>
    <row r="759" spans="1:29" ht="14.25" customHeight="1" x14ac:dyDescent="0.3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</row>
    <row r="760" spans="1:29" ht="14.25" customHeight="1" x14ac:dyDescent="0.3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</row>
    <row r="761" spans="1:29" ht="14.25" customHeight="1" x14ac:dyDescent="0.3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</row>
    <row r="762" spans="1:29" ht="14.25" customHeight="1" x14ac:dyDescent="0.3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</row>
    <row r="763" spans="1:29" ht="14.25" customHeight="1" x14ac:dyDescent="0.3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</row>
    <row r="764" spans="1:29" ht="14.25" customHeight="1" x14ac:dyDescent="0.3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</row>
    <row r="765" spans="1:29" ht="14.25" customHeight="1" x14ac:dyDescent="0.3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</row>
    <row r="766" spans="1:29" ht="14.25" customHeight="1" x14ac:dyDescent="0.3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</row>
    <row r="767" spans="1:29" ht="14.25" customHeight="1" x14ac:dyDescent="0.3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</row>
    <row r="768" spans="1:29" ht="14.25" customHeight="1" x14ac:dyDescent="0.3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</row>
    <row r="769" spans="1:29" ht="14.25" customHeight="1" x14ac:dyDescent="0.3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</row>
    <row r="770" spans="1:29" ht="14.25" customHeight="1" x14ac:dyDescent="0.3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</row>
    <row r="771" spans="1:29" ht="14.25" customHeight="1" x14ac:dyDescent="0.3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</row>
    <row r="772" spans="1:29" ht="14.25" customHeight="1" x14ac:dyDescent="0.3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</row>
    <row r="773" spans="1:29" ht="14.25" customHeight="1" x14ac:dyDescent="0.3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</row>
    <row r="774" spans="1:29" ht="14.25" customHeight="1" x14ac:dyDescent="0.3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</row>
    <row r="775" spans="1:29" ht="14.25" customHeight="1" x14ac:dyDescent="0.3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</row>
    <row r="776" spans="1:29" ht="14.25" customHeight="1" x14ac:dyDescent="0.3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</row>
    <row r="777" spans="1:29" ht="14.25" customHeight="1" x14ac:dyDescent="0.3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</row>
    <row r="778" spans="1:29" ht="14.25" customHeight="1" x14ac:dyDescent="0.3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</row>
    <row r="779" spans="1:29" ht="14.25" customHeight="1" x14ac:dyDescent="0.3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</row>
    <row r="780" spans="1:29" ht="14.25" customHeight="1" x14ac:dyDescent="0.3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</row>
    <row r="781" spans="1:29" ht="14.25" customHeight="1" x14ac:dyDescent="0.3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</row>
    <row r="782" spans="1:29" ht="14.25" customHeight="1" x14ac:dyDescent="0.3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</row>
    <row r="783" spans="1:29" ht="14.25" customHeight="1" x14ac:dyDescent="0.3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</row>
    <row r="784" spans="1:29" ht="14.25" customHeight="1" x14ac:dyDescent="0.3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</row>
    <row r="785" spans="1:29" ht="14.25" customHeight="1" x14ac:dyDescent="0.3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</row>
    <row r="786" spans="1:29" ht="14.25" customHeight="1" x14ac:dyDescent="0.3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</row>
    <row r="787" spans="1:29" ht="14.25" customHeight="1" x14ac:dyDescent="0.3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</row>
    <row r="788" spans="1:29" ht="14.25" customHeight="1" x14ac:dyDescent="0.3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</row>
    <row r="789" spans="1:29" ht="14.25" customHeight="1" x14ac:dyDescent="0.3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</row>
    <row r="790" spans="1:29" ht="14.25" customHeight="1" x14ac:dyDescent="0.3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</row>
    <row r="791" spans="1:29" ht="14.25" customHeight="1" x14ac:dyDescent="0.3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</row>
    <row r="792" spans="1:29" ht="14.25" customHeight="1" x14ac:dyDescent="0.3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</row>
    <row r="793" spans="1:29" ht="14.25" customHeight="1" x14ac:dyDescent="0.3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</row>
    <row r="794" spans="1:29" ht="14.25" customHeight="1" x14ac:dyDescent="0.3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</row>
    <row r="795" spans="1:29" ht="14.25" customHeight="1" x14ac:dyDescent="0.3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</row>
    <row r="796" spans="1:29" ht="14.25" customHeight="1" x14ac:dyDescent="0.3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</row>
    <row r="797" spans="1:29" ht="14.25" customHeight="1" x14ac:dyDescent="0.3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</row>
    <row r="798" spans="1:29" ht="14.25" customHeight="1" x14ac:dyDescent="0.3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</row>
    <row r="799" spans="1:29" ht="14.25" customHeight="1" x14ac:dyDescent="0.3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</row>
    <row r="800" spans="1:29" ht="14.25" customHeight="1" x14ac:dyDescent="0.3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</row>
    <row r="801" spans="1:29" ht="14.25" customHeight="1" x14ac:dyDescent="0.3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</row>
    <row r="802" spans="1:29" ht="14.25" customHeight="1" x14ac:dyDescent="0.3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</row>
    <row r="803" spans="1:29" ht="14.25" customHeight="1" x14ac:dyDescent="0.3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</row>
    <row r="804" spans="1:29" ht="14.25" customHeight="1" x14ac:dyDescent="0.3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</row>
    <row r="805" spans="1:29" ht="14.25" customHeight="1" x14ac:dyDescent="0.3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</row>
    <row r="806" spans="1:29" ht="14.25" customHeight="1" x14ac:dyDescent="0.3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</row>
    <row r="807" spans="1:29" ht="14.25" customHeight="1" x14ac:dyDescent="0.3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</row>
    <row r="808" spans="1:29" ht="14.25" customHeight="1" x14ac:dyDescent="0.3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</row>
    <row r="809" spans="1:29" ht="14.25" customHeight="1" x14ac:dyDescent="0.3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</row>
    <row r="810" spans="1:29" ht="14.25" customHeight="1" x14ac:dyDescent="0.3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</row>
    <row r="811" spans="1:29" ht="14.25" customHeight="1" x14ac:dyDescent="0.3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</row>
    <row r="812" spans="1:29" ht="14.25" customHeight="1" x14ac:dyDescent="0.3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</row>
    <row r="813" spans="1:29" ht="14.25" customHeight="1" x14ac:dyDescent="0.3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</row>
    <row r="814" spans="1:29" ht="14.25" customHeight="1" x14ac:dyDescent="0.3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</row>
    <row r="815" spans="1:29" ht="14.25" customHeight="1" x14ac:dyDescent="0.3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</row>
    <row r="816" spans="1:29" ht="14.25" customHeight="1" x14ac:dyDescent="0.3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</row>
    <row r="817" spans="1:29" ht="14.25" customHeight="1" x14ac:dyDescent="0.3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</row>
    <row r="818" spans="1:29" ht="14.25" customHeight="1" x14ac:dyDescent="0.3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</row>
    <row r="819" spans="1:29" ht="14.25" customHeight="1" x14ac:dyDescent="0.3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</row>
    <row r="820" spans="1:29" ht="14.25" customHeight="1" x14ac:dyDescent="0.3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</row>
    <row r="821" spans="1:29" ht="14.25" customHeight="1" x14ac:dyDescent="0.3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</row>
    <row r="822" spans="1:29" ht="14.25" customHeight="1" x14ac:dyDescent="0.3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</row>
    <row r="823" spans="1:29" ht="14.25" customHeight="1" x14ac:dyDescent="0.3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</row>
    <row r="824" spans="1:29" ht="14.25" customHeight="1" x14ac:dyDescent="0.3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</row>
    <row r="825" spans="1:29" ht="14.25" customHeight="1" x14ac:dyDescent="0.3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</row>
    <row r="826" spans="1:29" ht="14.25" customHeight="1" x14ac:dyDescent="0.3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</row>
    <row r="827" spans="1:29" ht="14.25" customHeight="1" x14ac:dyDescent="0.3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</row>
    <row r="828" spans="1:29" ht="14.25" customHeight="1" x14ac:dyDescent="0.3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</row>
    <row r="829" spans="1:29" ht="14.25" customHeight="1" x14ac:dyDescent="0.3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</row>
    <row r="830" spans="1:29" ht="14.25" customHeight="1" x14ac:dyDescent="0.3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</row>
    <row r="831" spans="1:29" ht="14.25" customHeight="1" x14ac:dyDescent="0.3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</row>
    <row r="832" spans="1:29" ht="14.25" customHeight="1" x14ac:dyDescent="0.3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</row>
    <row r="833" spans="1:29" ht="14.25" customHeight="1" x14ac:dyDescent="0.3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</row>
    <row r="834" spans="1:29" ht="14.25" customHeight="1" x14ac:dyDescent="0.3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</row>
    <row r="835" spans="1:29" ht="14.25" customHeight="1" x14ac:dyDescent="0.3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</row>
    <row r="836" spans="1:29" ht="14.25" customHeight="1" x14ac:dyDescent="0.3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</row>
    <row r="837" spans="1:29" ht="14.25" customHeight="1" x14ac:dyDescent="0.3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</row>
    <row r="838" spans="1:29" ht="14.25" customHeight="1" x14ac:dyDescent="0.3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</row>
    <row r="839" spans="1:29" ht="14.25" customHeight="1" x14ac:dyDescent="0.3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</row>
    <row r="840" spans="1:29" ht="14.25" customHeight="1" x14ac:dyDescent="0.3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</row>
    <row r="841" spans="1:29" ht="14.25" customHeight="1" x14ac:dyDescent="0.3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</row>
    <row r="842" spans="1:29" ht="14.25" customHeight="1" x14ac:dyDescent="0.3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</row>
    <row r="843" spans="1:29" ht="14.25" customHeight="1" x14ac:dyDescent="0.3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</row>
    <row r="844" spans="1:29" ht="14.25" customHeight="1" x14ac:dyDescent="0.3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</row>
    <row r="845" spans="1:29" ht="14.25" customHeight="1" x14ac:dyDescent="0.3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</row>
    <row r="846" spans="1:29" ht="14.25" customHeight="1" x14ac:dyDescent="0.3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</row>
    <row r="847" spans="1:29" ht="14.25" customHeight="1" x14ac:dyDescent="0.3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</row>
    <row r="848" spans="1:29" ht="14.25" customHeight="1" x14ac:dyDescent="0.3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</row>
    <row r="849" spans="1:29" ht="14.25" customHeight="1" x14ac:dyDescent="0.3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</row>
    <row r="850" spans="1:29" ht="14.25" customHeight="1" x14ac:dyDescent="0.3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</row>
    <row r="851" spans="1:29" ht="14.25" customHeight="1" x14ac:dyDescent="0.3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</row>
    <row r="852" spans="1:29" ht="14.25" customHeight="1" x14ac:dyDescent="0.3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</row>
    <row r="853" spans="1:29" ht="14.25" customHeight="1" x14ac:dyDescent="0.3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</row>
    <row r="854" spans="1:29" ht="14.25" customHeight="1" x14ac:dyDescent="0.3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</row>
    <row r="855" spans="1:29" ht="14.25" customHeight="1" x14ac:dyDescent="0.3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</row>
    <row r="856" spans="1:29" ht="14.25" customHeight="1" x14ac:dyDescent="0.3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</row>
    <row r="857" spans="1:29" ht="14.25" customHeight="1" x14ac:dyDescent="0.3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</row>
    <row r="858" spans="1:29" ht="14.25" customHeight="1" x14ac:dyDescent="0.3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</row>
    <row r="859" spans="1:29" ht="14.25" customHeight="1" x14ac:dyDescent="0.3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</row>
    <row r="860" spans="1:29" ht="14.25" customHeight="1" x14ac:dyDescent="0.3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</row>
    <row r="861" spans="1:29" ht="14.25" customHeight="1" x14ac:dyDescent="0.3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</row>
    <row r="862" spans="1:29" ht="14.25" customHeight="1" x14ac:dyDescent="0.3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</row>
    <row r="863" spans="1:29" ht="14.25" customHeight="1" x14ac:dyDescent="0.3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</row>
    <row r="864" spans="1:29" ht="14.25" customHeight="1" x14ac:dyDescent="0.3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</row>
    <row r="865" spans="1:29" ht="14.25" customHeight="1" x14ac:dyDescent="0.3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</row>
    <row r="866" spans="1:29" ht="14.25" customHeight="1" x14ac:dyDescent="0.3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</row>
    <row r="867" spans="1:29" ht="14.25" customHeight="1" x14ac:dyDescent="0.3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</row>
    <row r="868" spans="1:29" ht="14.25" customHeight="1" x14ac:dyDescent="0.3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</row>
    <row r="869" spans="1:29" ht="14.25" customHeight="1" x14ac:dyDescent="0.3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</row>
    <row r="870" spans="1:29" ht="14.25" customHeight="1" x14ac:dyDescent="0.3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</row>
    <row r="871" spans="1:29" ht="14.25" customHeight="1" x14ac:dyDescent="0.3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</row>
    <row r="872" spans="1:29" ht="14.25" customHeight="1" x14ac:dyDescent="0.3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</row>
    <row r="873" spans="1:29" ht="14.25" customHeight="1" x14ac:dyDescent="0.3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</row>
    <row r="874" spans="1:29" ht="14.25" customHeight="1" x14ac:dyDescent="0.3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</row>
    <row r="875" spans="1:29" ht="14.25" customHeight="1" x14ac:dyDescent="0.3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</row>
    <row r="876" spans="1:29" ht="14.25" customHeight="1" x14ac:dyDescent="0.3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</row>
    <row r="877" spans="1:29" ht="14.25" customHeight="1" x14ac:dyDescent="0.3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</row>
    <row r="878" spans="1:29" ht="14.25" customHeight="1" x14ac:dyDescent="0.3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</row>
    <row r="879" spans="1:29" ht="14.25" customHeight="1" x14ac:dyDescent="0.3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</row>
    <row r="880" spans="1:29" ht="14.25" customHeight="1" x14ac:dyDescent="0.3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</row>
    <row r="881" spans="1:29" ht="14.25" customHeight="1" x14ac:dyDescent="0.3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</row>
    <row r="882" spans="1:29" ht="14.25" customHeight="1" x14ac:dyDescent="0.3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</row>
    <row r="883" spans="1:29" ht="14.25" customHeight="1" x14ac:dyDescent="0.3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</row>
    <row r="884" spans="1:29" ht="14.25" customHeight="1" x14ac:dyDescent="0.3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</row>
    <row r="885" spans="1:29" ht="14.25" customHeight="1" x14ac:dyDescent="0.3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</row>
    <row r="886" spans="1:29" ht="14.25" customHeight="1" x14ac:dyDescent="0.3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</row>
    <row r="887" spans="1:29" ht="14.25" customHeight="1" x14ac:dyDescent="0.3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</row>
    <row r="888" spans="1:29" ht="14.25" customHeight="1" x14ac:dyDescent="0.3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</row>
    <row r="889" spans="1:29" ht="14.25" customHeight="1" x14ac:dyDescent="0.3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</row>
    <row r="890" spans="1:29" ht="14.25" customHeight="1" x14ac:dyDescent="0.3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</row>
    <row r="891" spans="1:29" ht="14.25" customHeight="1" x14ac:dyDescent="0.3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</row>
    <row r="892" spans="1:29" ht="14.25" customHeight="1" x14ac:dyDescent="0.3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</row>
    <row r="893" spans="1:29" ht="14.25" customHeight="1" x14ac:dyDescent="0.3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</row>
    <row r="894" spans="1:29" ht="14.25" customHeight="1" x14ac:dyDescent="0.3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</row>
    <row r="895" spans="1:29" ht="14.25" customHeight="1" x14ac:dyDescent="0.3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</row>
    <row r="896" spans="1:29" ht="14.25" customHeight="1" x14ac:dyDescent="0.3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</row>
    <row r="897" spans="1:29" ht="14.25" customHeight="1" x14ac:dyDescent="0.3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</row>
    <row r="898" spans="1:29" ht="14.25" customHeight="1" x14ac:dyDescent="0.3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</row>
    <row r="899" spans="1:29" ht="14.25" customHeight="1" x14ac:dyDescent="0.3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</row>
    <row r="900" spans="1:29" ht="14.25" customHeight="1" x14ac:dyDescent="0.3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</row>
    <row r="901" spans="1:29" ht="14.25" customHeight="1" x14ac:dyDescent="0.3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</row>
    <row r="902" spans="1:29" ht="14.25" customHeight="1" x14ac:dyDescent="0.3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</row>
    <row r="903" spans="1:29" ht="14.25" customHeight="1" x14ac:dyDescent="0.3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</row>
    <row r="904" spans="1:29" ht="14.25" customHeight="1" x14ac:dyDescent="0.3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</row>
    <row r="905" spans="1:29" ht="14.25" customHeight="1" x14ac:dyDescent="0.3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</row>
    <row r="906" spans="1:29" ht="14.25" customHeight="1" x14ac:dyDescent="0.3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</row>
    <row r="907" spans="1:29" ht="14.25" customHeight="1" x14ac:dyDescent="0.3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</row>
    <row r="908" spans="1:29" ht="14.25" customHeight="1" x14ac:dyDescent="0.3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</row>
    <row r="909" spans="1:29" ht="14.25" customHeight="1" x14ac:dyDescent="0.3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</row>
    <row r="910" spans="1:29" ht="14.25" customHeight="1" x14ac:dyDescent="0.3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</row>
    <row r="911" spans="1:29" ht="14.25" customHeight="1" x14ac:dyDescent="0.3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</row>
    <row r="912" spans="1:29" ht="14.25" customHeight="1" x14ac:dyDescent="0.3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</row>
    <row r="913" spans="1:29" ht="14.25" customHeight="1" x14ac:dyDescent="0.3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</row>
    <row r="914" spans="1:29" ht="14.25" customHeight="1" x14ac:dyDescent="0.3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</row>
    <row r="915" spans="1:29" ht="14.25" customHeight="1" x14ac:dyDescent="0.3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</row>
    <row r="916" spans="1:29" ht="14.25" customHeight="1" x14ac:dyDescent="0.3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</row>
    <row r="917" spans="1:29" ht="14.25" customHeight="1" x14ac:dyDescent="0.3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</row>
    <row r="918" spans="1:29" ht="14.25" customHeight="1" x14ac:dyDescent="0.3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</row>
    <row r="919" spans="1:29" ht="14.25" customHeight="1" x14ac:dyDescent="0.3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</row>
    <row r="920" spans="1:29" ht="14.25" customHeight="1" x14ac:dyDescent="0.3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</row>
    <row r="921" spans="1:29" ht="14.25" customHeight="1" x14ac:dyDescent="0.3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</row>
    <row r="922" spans="1:29" ht="14.25" customHeight="1" x14ac:dyDescent="0.3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</row>
    <row r="923" spans="1:29" ht="14.25" customHeight="1" x14ac:dyDescent="0.3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</row>
    <row r="924" spans="1:29" ht="14.25" customHeight="1" x14ac:dyDescent="0.3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</row>
    <row r="925" spans="1:29" ht="14.25" customHeight="1" x14ac:dyDescent="0.3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</row>
    <row r="926" spans="1:29" ht="14.25" customHeight="1" x14ac:dyDescent="0.3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</row>
    <row r="927" spans="1:29" ht="14.25" customHeight="1" x14ac:dyDescent="0.3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</row>
    <row r="928" spans="1:29" ht="14.25" customHeight="1" x14ac:dyDescent="0.3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</row>
    <row r="929" spans="1:29" ht="14.25" customHeight="1" x14ac:dyDescent="0.3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</row>
    <row r="930" spans="1:29" ht="14.25" customHeight="1" x14ac:dyDescent="0.3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</row>
    <row r="931" spans="1:29" ht="14.25" customHeight="1" x14ac:dyDescent="0.3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</row>
    <row r="932" spans="1:29" ht="14.25" customHeight="1" x14ac:dyDescent="0.3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</row>
    <row r="933" spans="1:29" ht="14.25" customHeight="1" x14ac:dyDescent="0.3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</row>
    <row r="934" spans="1:29" ht="14.25" customHeight="1" x14ac:dyDescent="0.3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</row>
    <row r="935" spans="1:29" ht="14.25" customHeight="1" x14ac:dyDescent="0.3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</row>
    <row r="936" spans="1:29" ht="14.25" customHeight="1" x14ac:dyDescent="0.3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</row>
    <row r="937" spans="1:29" ht="14.25" customHeight="1" x14ac:dyDescent="0.3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</row>
    <row r="938" spans="1:29" ht="14.25" customHeight="1" x14ac:dyDescent="0.3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</row>
    <row r="939" spans="1:29" ht="14.25" customHeight="1" x14ac:dyDescent="0.3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</row>
    <row r="940" spans="1:29" ht="14.25" customHeight="1" x14ac:dyDescent="0.3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</row>
    <row r="941" spans="1:29" ht="14.25" customHeight="1" x14ac:dyDescent="0.3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</row>
    <row r="942" spans="1:29" ht="14.25" customHeight="1" x14ac:dyDescent="0.3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</row>
    <row r="943" spans="1:29" ht="14.25" customHeight="1" x14ac:dyDescent="0.3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</row>
    <row r="944" spans="1:29" ht="14.25" customHeight="1" x14ac:dyDescent="0.3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</row>
    <row r="945" spans="1:29" ht="14.25" customHeight="1" x14ac:dyDescent="0.3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</row>
    <row r="946" spans="1:29" ht="14.25" customHeight="1" x14ac:dyDescent="0.3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</row>
    <row r="947" spans="1:29" ht="14.25" customHeight="1" x14ac:dyDescent="0.3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</row>
    <row r="948" spans="1:29" ht="14.25" customHeight="1" x14ac:dyDescent="0.3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</row>
    <row r="949" spans="1:29" ht="14.25" customHeight="1" x14ac:dyDescent="0.3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</row>
    <row r="950" spans="1:29" ht="14.25" customHeight="1" x14ac:dyDescent="0.3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</row>
    <row r="951" spans="1:29" ht="14.25" customHeight="1" x14ac:dyDescent="0.3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  <c r="AA951" s="109"/>
      <c r="AB951" s="109"/>
      <c r="AC951" s="109"/>
    </row>
    <row r="952" spans="1:29" ht="14.25" customHeight="1" x14ac:dyDescent="0.3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  <c r="AB952" s="109"/>
      <c r="AC952" s="109"/>
    </row>
    <row r="953" spans="1:29" ht="14.25" customHeight="1" x14ac:dyDescent="0.3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</row>
    <row r="954" spans="1:29" ht="14.25" customHeight="1" x14ac:dyDescent="0.3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</row>
    <row r="955" spans="1:29" ht="14.25" customHeight="1" x14ac:dyDescent="0.3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</row>
    <row r="956" spans="1:29" ht="14.25" customHeight="1" x14ac:dyDescent="0.3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</row>
    <row r="957" spans="1:29" ht="14.25" customHeight="1" x14ac:dyDescent="0.3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</row>
    <row r="958" spans="1:29" ht="14.25" customHeight="1" x14ac:dyDescent="0.3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09"/>
      <c r="AC958" s="109"/>
    </row>
    <row r="959" spans="1:29" ht="14.25" customHeight="1" x14ac:dyDescent="0.3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</row>
    <row r="960" spans="1:29" ht="14.25" customHeight="1" x14ac:dyDescent="0.3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</row>
    <row r="961" spans="1:29" ht="14.25" customHeight="1" x14ac:dyDescent="0.3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</row>
    <row r="962" spans="1:29" ht="14.25" customHeight="1" x14ac:dyDescent="0.3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</row>
    <row r="963" spans="1:29" ht="14.25" customHeight="1" x14ac:dyDescent="0.3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</row>
    <row r="964" spans="1:29" ht="14.25" customHeight="1" x14ac:dyDescent="0.3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</row>
    <row r="965" spans="1:29" ht="14.25" customHeight="1" x14ac:dyDescent="0.3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</row>
    <row r="966" spans="1:29" ht="14.25" customHeight="1" x14ac:dyDescent="0.3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</row>
    <row r="967" spans="1:29" ht="14.25" customHeight="1" x14ac:dyDescent="0.3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</row>
    <row r="968" spans="1:29" ht="14.25" customHeight="1" x14ac:dyDescent="0.3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</row>
    <row r="969" spans="1:29" ht="14.25" customHeight="1" x14ac:dyDescent="0.3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09"/>
      <c r="AC969" s="109"/>
    </row>
    <row r="970" spans="1:29" ht="14.25" customHeight="1" x14ac:dyDescent="0.3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</row>
    <row r="971" spans="1:29" ht="14.25" customHeight="1" x14ac:dyDescent="0.3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</row>
    <row r="972" spans="1:29" ht="14.25" customHeight="1" x14ac:dyDescent="0.3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</row>
    <row r="973" spans="1:29" ht="14.25" customHeight="1" x14ac:dyDescent="0.3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</row>
    <row r="974" spans="1:29" ht="14.25" customHeight="1" x14ac:dyDescent="0.3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</row>
    <row r="975" spans="1:29" ht="14.25" customHeight="1" x14ac:dyDescent="0.3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</row>
    <row r="976" spans="1:29" ht="14.25" customHeight="1" x14ac:dyDescent="0.3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</row>
    <row r="977" spans="1:29" ht="14.25" customHeight="1" x14ac:dyDescent="0.3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</row>
    <row r="978" spans="1:29" ht="14.25" customHeight="1" x14ac:dyDescent="0.3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</row>
    <row r="979" spans="1:29" ht="14.25" customHeight="1" x14ac:dyDescent="0.3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</row>
    <row r="980" spans="1:29" ht="14.25" customHeight="1" x14ac:dyDescent="0.3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</row>
    <row r="981" spans="1:29" ht="14.25" customHeight="1" x14ac:dyDescent="0.3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</row>
    <row r="982" spans="1:29" ht="14.25" customHeight="1" x14ac:dyDescent="0.3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</row>
    <row r="983" spans="1:29" ht="14.25" customHeight="1" x14ac:dyDescent="0.3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</row>
    <row r="984" spans="1:29" ht="14.25" customHeight="1" x14ac:dyDescent="0.3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</row>
    <row r="985" spans="1:29" ht="14.25" customHeight="1" x14ac:dyDescent="0.3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</row>
    <row r="986" spans="1:29" ht="14" x14ac:dyDescent="0.3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</row>
    <row r="987" spans="1:29" ht="14" x14ac:dyDescent="0.3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</row>
    <row r="988" spans="1:29" ht="14" x14ac:dyDescent="0.3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</row>
    <row r="989" spans="1:29" ht="14" x14ac:dyDescent="0.3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</row>
    <row r="990" spans="1:29" ht="14" x14ac:dyDescent="0.3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</row>
  </sheetData>
  <mergeCells count="30">
    <mergeCell ref="Y2:Y3"/>
    <mergeCell ref="Z2:Z3"/>
    <mergeCell ref="AA2:AA3"/>
    <mergeCell ref="A1:A3"/>
    <mergeCell ref="B1:B3"/>
    <mergeCell ref="C1:M1"/>
    <mergeCell ref="N1:AB1"/>
    <mergeCell ref="T2:T3"/>
    <mergeCell ref="U2:U3"/>
    <mergeCell ref="K2:K3"/>
    <mergeCell ref="L2:M2"/>
    <mergeCell ref="V2:V3"/>
    <mergeCell ref="W2:W3"/>
    <mergeCell ref="X2:X3"/>
    <mergeCell ref="AC1:AC3"/>
    <mergeCell ref="C2:C3"/>
    <mergeCell ref="D2:D3"/>
    <mergeCell ref="AB2:AB3"/>
    <mergeCell ref="E2:E3"/>
    <mergeCell ref="F2:F3"/>
    <mergeCell ref="G2:G3"/>
    <mergeCell ref="H2:H3"/>
    <mergeCell ref="I2:I3"/>
    <mergeCell ref="J2:J3"/>
    <mergeCell ref="N2:N3"/>
    <mergeCell ref="O2:O3"/>
    <mergeCell ref="P2:P3"/>
    <mergeCell ref="Q2:Q3"/>
    <mergeCell ref="R2:R3"/>
    <mergeCell ref="S2:S3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4A86E8"/>
  </sheetPr>
  <dimension ref="A1:AU990"/>
  <sheetViews>
    <sheetView topLeftCell="A16" workbookViewId="0">
      <selection activeCell="C36" sqref="C36"/>
    </sheetView>
  </sheetViews>
  <sheetFormatPr defaultColWidth="12.58203125" defaultRowHeight="15" customHeight="1" x14ac:dyDescent="0.3"/>
  <cols>
    <col min="1" max="1" width="4.75" customWidth="1"/>
    <col min="2" max="2" width="19.58203125" customWidth="1"/>
    <col min="3" max="3" width="10.83203125" customWidth="1"/>
    <col min="4" max="4" width="11.75" customWidth="1"/>
    <col min="5" max="5" width="8.75" customWidth="1"/>
    <col min="6" max="6" width="9.58203125" customWidth="1"/>
    <col min="7" max="7" width="14.5" customWidth="1"/>
    <col min="8" max="8" width="12.83203125" customWidth="1"/>
    <col min="9" max="9" width="9.75" customWidth="1"/>
    <col min="10" max="10" width="7.58203125" customWidth="1"/>
    <col min="11" max="11" width="10.08203125" customWidth="1"/>
    <col min="12" max="12" width="14" customWidth="1"/>
    <col min="13" max="13" width="7.58203125" customWidth="1"/>
    <col min="14" max="14" width="12.08203125" customWidth="1"/>
    <col min="15" max="15" width="7.58203125" customWidth="1"/>
    <col min="16" max="16" width="10.33203125" customWidth="1"/>
    <col min="17" max="17" width="12.58203125" customWidth="1"/>
    <col min="18" max="18" width="10.83203125" customWidth="1"/>
    <col min="19" max="19" width="7.58203125" customWidth="1"/>
    <col min="20" max="20" width="9.08203125" customWidth="1"/>
    <col min="21" max="21" width="13.58203125" customWidth="1"/>
    <col min="22" max="22" width="12.5" customWidth="1"/>
    <col min="23" max="23" width="11.08203125" customWidth="1"/>
    <col min="24" max="24" width="10.83203125" customWidth="1"/>
    <col min="25" max="25" width="10.75" customWidth="1"/>
    <col min="26" max="26" width="12.08203125" customWidth="1"/>
    <col min="27" max="27" width="13.5" customWidth="1"/>
    <col min="28" max="28" width="9.08203125" customWidth="1"/>
    <col min="29" max="29" width="7.58203125" customWidth="1"/>
    <col min="30" max="30" width="9.5" customWidth="1"/>
    <col min="31" max="31" width="12.33203125" customWidth="1"/>
    <col min="32" max="32" width="18.75" customWidth="1"/>
    <col min="33" max="33" width="10.33203125" customWidth="1"/>
    <col min="34" max="34" width="7.58203125" customWidth="1"/>
    <col min="35" max="35" width="8.83203125" customWidth="1"/>
    <col min="36" max="36" width="13.25" customWidth="1"/>
    <col min="37" max="37" width="10.75" customWidth="1"/>
    <col min="38" max="38" width="11.75" customWidth="1"/>
    <col min="39" max="39" width="7.58203125" customWidth="1"/>
    <col min="40" max="40" width="10.33203125" customWidth="1"/>
    <col min="41" max="41" width="12.25" customWidth="1"/>
    <col min="42" max="42" width="21.33203125" customWidth="1"/>
    <col min="43" max="43" width="9.75" customWidth="1"/>
    <col min="44" max="44" width="7.58203125" customWidth="1"/>
    <col min="45" max="45" width="9.75" customWidth="1"/>
    <col min="46" max="46" width="12.83203125" customWidth="1"/>
    <col min="47" max="47" width="16.58203125" customWidth="1"/>
  </cols>
  <sheetData>
    <row r="1" spans="1:47" ht="14.25" customHeight="1" x14ac:dyDescent="0.3">
      <c r="A1" s="395" t="s">
        <v>0</v>
      </c>
      <c r="B1" s="396" t="s">
        <v>104</v>
      </c>
      <c r="C1" s="398" t="s">
        <v>3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  <c r="T1" s="122"/>
      <c r="U1" s="122"/>
      <c r="V1" s="402" t="s">
        <v>4</v>
      </c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2"/>
      <c r="AS1" s="123"/>
      <c r="AT1" s="123"/>
      <c r="AU1" s="401" t="s">
        <v>5</v>
      </c>
    </row>
    <row r="2" spans="1:47" ht="14.25" customHeight="1" x14ac:dyDescent="0.3">
      <c r="A2" s="389"/>
      <c r="B2" s="353"/>
      <c r="C2" s="397" t="s">
        <v>6</v>
      </c>
      <c r="D2" s="397" t="s">
        <v>7</v>
      </c>
      <c r="E2" s="397" t="s">
        <v>8</v>
      </c>
      <c r="F2" s="397" t="s">
        <v>85</v>
      </c>
      <c r="G2" s="397" t="s">
        <v>86</v>
      </c>
      <c r="H2" s="397" t="s">
        <v>9</v>
      </c>
      <c r="I2" s="397" t="s">
        <v>7</v>
      </c>
      <c r="J2" s="397" t="s">
        <v>8</v>
      </c>
      <c r="K2" s="397" t="s">
        <v>85</v>
      </c>
      <c r="L2" s="397" t="s">
        <v>86</v>
      </c>
      <c r="M2" s="397" t="s">
        <v>105</v>
      </c>
      <c r="N2" s="397" t="s">
        <v>7</v>
      </c>
      <c r="O2" s="397" t="s">
        <v>8</v>
      </c>
      <c r="P2" s="397" t="s">
        <v>85</v>
      </c>
      <c r="Q2" s="397" t="s">
        <v>86</v>
      </c>
      <c r="R2" s="399" t="s">
        <v>11</v>
      </c>
      <c r="S2" s="372"/>
      <c r="T2" s="397" t="s">
        <v>85</v>
      </c>
      <c r="U2" s="397" t="s">
        <v>86</v>
      </c>
      <c r="V2" s="400" t="s">
        <v>12</v>
      </c>
      <c r="W2" s="400" t="s">
        <v>7</v>
      </c>
      <c r="X2" s="400" t="s">
        <v>8</v>
      </c>
      <c r="Y2" s="400" t="s">
        <v>85</v>
      </c>
      <c r="Z2" s="400" t="s">
        <v>131</v>
      </c>
      <c r="AA2" s="400" t="s">
        <v>13</v>
      </c>
      <c r="AB2" s="400" t="s">
        <v>7</v>
      </c>
      <c r="AC2" s="400" t="s">
        <v>8</v>
      </c>
      <c r="AD2" s="400" t="s">
        <v>85</v>
      </c>
      <c r="AE2" s="400" t="s">
        <v>131</v>
      </c>
      <c r="AF2" s="400" t="s">
        <v>14</v>
      </c>
      <c r="AG2" s="400" t="s">
        <v>7</v>
      </c>
      <c r="AH2" s="400" t="s">
        <v>8</v>
      </c>
      <c r="AI2" s="400" t="s">
        <v>85</v>
      </c>
      <c r="AJ2" s="400" t="s">
        <v>131</v>
      </c>
      <c r="AK2" s="400" t="s">
        <v>15</v>
      </c>
      <c r="AL2" s="400" t="s">
        <v>7</v>
      </c>
      <c r="AM2" s="400" t="s">
        <v>8</v>
      </c>
      <c r="AN2" s="400" t="s">
        <v>85</v>
      </c>
      <c r="AO2" s="400" t="s">
        <v>131</v>
      </c>
      <c r="AP2" s="400" t="s">
        <v>16</v>
      </c>
      <c r="AQ2" s="400" t="s">
        <v>7</v>
      </c>
      <c r="AR2" s="400" t="s">
        <v>8</v>
      </c>
      <c r="AS2" s="400" t="s">
        <v>85</v>
      </c>
      <c r="AT2" s="400" t="s">
        <v>131</v>
      </c>
      <c r="AU2" s="353"/>
    </row>
    <row r="3" spans="1:47" ht="14.25" customHeight="1" x14ac:dyDescent="0.3">
      <c r="A3" s="390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124" t="s">
        <v>17</v>
      </c>
      <c r="S3" s="124" t="s">
        <v>8</v>
      </c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</row>
    <row r="4" spans="1:47" ht="14.25" customHeight="1" x14ac:dyDescent="0.3">
      <c r="A4" s="76">
        <v>1</v>
      </c>
      <c r="B4" s="77" t="s">
        <v>100</v>
      </c>
      <c r="C4" s="78"/>
      <c r="D4" s="78"/>
      <c r="E4" s="78"/>
      <c r="F4" s="78"/>
      <c r="G4" s="78"/>
      <c r="H4" s="78"/>
      <c r="I4" s="78"/>
      <c r="J4" s="78"/>
      <c r="K4" s="97"/>
      <c r="L4" s="97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97"/>
      <c r="AE4" s="97"/>
      <c r="AF4" s="78"/>
      <c r="AG4" s="78"/>
      <c r="AH4" s="78"/>
      <c r="AI4" s="78"/>
      <c r="AJ4" s="78"/>
      <c r="AK4" s="78"/>
      <c r="AL4" s="78"/>
      <c r="AM4" s="78"/>
      <c r="AN4" s="97"/>
      <c r="AO4" s="97"/>
      <c r="AP4" s="78"/>
      <c r="AQ4" s="78"/>
      <c r="AR4" s="78"/>
      <c r="AS4" s="97"/>
      <c r="AT4" s="97"/>
      <c r="AU4" s="79"/>
    </row>
    <row r="5" spans="1:47" ht="14.25" customHeight="1" x14ac:dyDescent="0.3">
      <c r="A5" s="79"/>
      <c r="B5" s="79" t="s">
        <v>106</v>
      </c>
      <c r="C5" s="80" t="s">
        <v>107</v>
      </c>
      <c r="D5" s="111">
        <f>'UT Unit Fungsi'!D5</f>
        <v>1.095049968418018E-4</v>
      </c>
      <c r="E5" s="188" t="s">
        <v>199</v>
      </c>
      <c r="F5" s="86">
        <f>CF!E4</f>
        <v>5.1299999999999998E-2</v>
      </c>
      <c r="G5" s="111">
        <f t="shared" ref="G5:G7" si="0">D5*F5</f>
        <v>5.6176063379844325E-6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9"/>
    </row>
    <row r="6" spans="1:47" ht="14.25" customHeight="1" x14ac:dyDescent="0.3">
      <c r="A6" s="79"/>
      <c r="B6" s="79" t="s">
        <v>108</v>
      </c>
      <c r="C6" s="80" t="s">
        <v>109</v>
      </c>
      <c r="D6" s="111">
        <f>'UT Unit Fungsi'!D6</f>
        <v>1.9087843472699963E-2</v>
      </c>
      <c r="E6" s="188" t="s">
        <v>209</v>
      </c>
      <c r="F6" s="125">
        <v>0</v>
      </c>
      <c r="G6" s="111">
        <f t="shared" si="0"/>
        <v>0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80" t="s">
        <v>111</v>
      </c>
      <c r="AB6" s="111">
        <f>Utilitas!R6/Utilitas!C30</f>
        <v>1.9087843472699963E-2</v>
      </c>
      <c r="AC6" s="188" t="s">
        <v>209</v>
      </c>
      <c r="AD6" s="125">
        <v>0</v>
      </c>
      <c r="AE6" s="111">
        <f>AB6*AD6</f>
        <v>0</v>
      </c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80" t="s">
        <v>112</v>
      </c>
      <c r="AQ6" s="111">
        <f>Utilitas!AA6/Utilitas!C30</f>
        <v>3.8175686945399931E-7</v>
      </c>
      <c r="AR6" s="188" t="s">
        <v>203</v>
      </c>
      <c r="AS6" s="134">
        <f>CF!E24</f>
        <v>0.59699999999999998</v>
      </c>
      <c r="AT6" s="111">
        <f>AQ6*AS6</f>
        <v>2.2790885106403757E-7</v>
      </c>
      <c r="AU6" s="79"/>
    </row>
    <row r="7" spans="1:47" ht="14.25" customHeight="1" x14ac:dyDescent="0.3">
      <c r="A7" s="79"/>
      <c r="B7" s="79"/>
      <c r="C7" s="80" t="s">
        <v>113</v>
      </c>
      <c r="D7" s="111">
        <f>'UT Unit Fungsi'!D7</f>
        <v>3.8175686945399923E-5</v>
      </c>
      <c r="E7" s="188" t="s">
        <v>202</v>
      </c>
      <c r="F7" s="125">
        <v>0</v>
      </c>
      <c r="G7" s="111">
        <f t="shared" si="0"/>
        <v>0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112"/>
      <c r="AR7" s="78"/>
      <c r="AS7" s="78"/>
      <c r="AT7" s="78"/>
      <c r="AU7" s="79"/>
    </row>
    <row r="8" spans="1:47" ht="14.25" customHeight="1" x14ac:dyDescent="0.3">
      <c r="A8" s="79"/>
      <c r="B8" s="79" t="s">
        <v>114</v>
      </c>
      <c r="C8" s="78"/>
      <c r="D8" s="85"/>
      <c r="E8" s="85"/>
      <c r="F8" s="85"/>
      <c r="G8" s="85"/>
      <c r="H8" s="80" t="s">
        <v>22</v>
      </c>
      <c r="I8" s="111">
        <f>'UT Unit Fungsi'!G8</f>
        <v>6.6825250072615507E-3</v>
      </c>
      <c r="J8" s="188" t="s">
        <v>203</v>
      </c>
      <c r="K8" s="111">
        <f>CF!E7</f>
        <v>0.47899999999999998</v>
      </c>
      <c r="L8" s="111">
        <f>I8*K8</f>
        <v>3.2009294784782825E-3</v>
      </c>
      <c r="M8" s="78"/>
      <c r="N8" s="78"/>
      <c r="O8" s="78"/>
      <c r="P8" s="78"/>
      <c r="Q8" s="78"/>
      <c r="R8" s="78"/>
      <c r="S8" s="78"/>
      <c r="T8" s="78"/>
      <c r="U8" s="78"/>
      <c r="V8" s="87" t="s">
        <v>24</v>
      </c>
      <c r="W8" s="111">
        <f>Utilitas!O8/Utilitas!C30</f>
        <v>3.4084522550674235E-8</v>
      </c>
      <c r="X8" s="20" t="s">
        <v>205</v>
      </c>
      <c r="Y8" s="145">
        <f>CF!E21</f>
        <v>0.82899999999999996</v>
      </c>
      <c r="Z8" s="126">
        <f t="shared" ref="Z8:Z10" si="1">W8*Y8</f>
        <v>2.8256069194508937E-8</v>
      </c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112"/>
      <c r="AR8" s="78"/>
      <c r="AS8" s="78"/>
      <c r="AT8" s="78"/>
      <c r="AU8" s="79"/>
    </row>
    <row r="9" spans="1:47" ht="14.25" customHeight="1" x14ac:dyDescent="0.3">
      <c r="A9" s="76"/>
      <c r="B9" s="79"/>
      <c r="C9" s="78"/>
      <c r="D9" s="85"/>
      <c r="E9" s="85"/>
      <c r="F9" s="85"/>
      <c r="G9" s="85"/>
      <c r="H9" s="78"/>
      <c r="I9" s="85"/>
      <c r="J9" s="85"/>
      <c r="K9" s="85"/>
      <c r="L9" s="85"/>
      <c r="M9" s="78"/>
      <c r="N9" s="89"/>
      <c r="O9" s="78"/>
      <c r="P9" s="78"/>
      <c r="Q9" s="78"/>
      <c r="R9" s="78"/>
      <c r="S9" s="78"/>
      <c r="T9" s="78"/>
      <c r="U9" s="78"/>
      <c r="V9" s="87" t="s">
        <v>29</v>
      </c>
      <c r="W9" s="111">
        <f>Utilitas!O9/Utilitas!C30</f>
        <v>5.1831000461322046E-7</v>
      </c>
      <c r="X9" s="18" t="s">
        <v>206</v>
      </c>
      <c r="Y9" s="146">
        <f>CF!E22</f>
        <v>1.22</v>
      </c>
      <c r="Z9" s="127">
        <f t="shared" si="1"/>
        <v>6.3233820562812899E-7</v>
      </c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90"/>
      <c r="AO9" s="90"/>
      <c r="AP9" s="90"/>
      <c r="AQ9" s="112"/>
      <c r="AR9" s="92"/>
      <c r="AS9" s="92"/>
      <c r="AT9" s="92"/>
      <c r="AU9" s="79"/>
    </row>
    <row r="10" spans="1:47" ht="14.25" customHeight="1" x14ac:dyDescent="0.3">
      <c r="A10" s="76"/>
      <c r="B10" s="79"/>
      <c r="C10" s="78"/>
      <c r="D10" s="85"/>
      <c r="E10" s="85"/>
      <c r="F10" s="85"/>
      <c r="G10" s="85"/>
      <c r="H10" s="78"/>
      <c r="I10" s="85"/>
      <c r="J10" s="85"/>
      <c r="K10" s="85"/>
      <c r="L10" s="85"/>
      <c r="M10" s="78"/>
      <c r="N10" s="89"/>
      <c r="O10" s="78"/>
      <c r="P10" s="78"/>
      <c r="Q10" s="78"/>
      <c r="R10" s="78"/>
      <c r="S10" s="78"/>
      <c r="T10" s="78"/>
      <c r="U10" s="78"/>
      <c r="V10" s="87" t="s">
        <v>31</v>
      </c>
      <c r="W10" s="111">
        <f>Utilitas!O10/Utilitas!C30</f>
        <v>2.0257163306103306E-5</v>
      </c>
      <c r="X10" s="18" t="s">
        <v>207</v>
      </c>
      <c r="Y10" s="146">
        <f>CF!E23</f>
        <v>0.85299999999999998</v>
      </c>
      <c r="Z10" s="127">
        <f t="shared" si="1"/>
        <v>1.7279360300106121E-5</v>
      </c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90"/>
      <c r="AO10" s="90"/>
      <c r="AP10" s="90"/>
      <c r="AQ10" s="112"/>
      <c r="AR10" s="92"/>
      <c r="AS10" s="92"/>
      <c r="AT10" s="92"/>
      <c r="AU10" s="79"/>
    </row>
    <row r="11" spans="1:47" ht="14.25" customHeight="1" x14ac:dyDescent="0.3">
      <c r="A11" s="76"/>
      <c r="B11" s="79"/>
      <c r="C11" s="78"/>
      <c r="D11" s="85"/>
      <c r="E11" s="85"/>
      <c r="F11" s="85"/>
      <c r="G11" s="85"/>
      <c r="H11" s="78"/>
      <c r="I11" s="85"/>
      <c r="J11" s="85"/>
      <c r="K11" s="85"/>
      <c r="L11" s="85"/>
      <c r="M11" s="78"/>
      <c r="N11" s="89"/>
      <c r="O11" s="78"/>
      <c r="P11" s="78"/>
      <c r="Q11" s="78"/>
      <c r="R11" s="78"/>
      <c r="S11" s="78"/>
      <c r="T11" s="78"/>
      <c r="U11" s="78"/>
      <c r="V11" s="78"/>
      <c r="W11" s="113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90"/>
      <c r="AO11" s="90"/>
      <c r="AP11" s="90"/>
      <c r="AQ11" s="112"/>
      <c r="AR11" s="92"/>
      <c r="AS11" s="92"/>
      <c r="AT11" s="92"/>
      <c r="AU11" s="79"/>
    </row>
    <row r="12" spans="1:47" ht="14.25" customHeight="1" x14ac:dyDescent="0.3">
      <c r="A12" s="76"/>
      <c r="B12" s="79"/>
      <c r="C12" s="78"/>
      <c r="D12" s="85"/>
      <c r="E12" s="85"/>
      <c r="F12" s="85"/>
      <c r="G12" s="85"/>
      <c r="H12" s="78"/>
      <c r="I12" s="85"/>
      <c r="J12" s="85"/>
      <c r="K12" s="85"/>
      <c r="L12" s="85"/>
      <c r="M12" s="78"/>
      <c r="N12" s="89"/>
      <c r="O12" s="78"/>
      <c r="P12" s="78"/>
      <c r="Q12" s="78"/>
      <c r="R12" s="78"/>
      <c r="S12" s="78"/>
      <c r="T12" s="78"/>
      <c r="U12" s="78"/>
      <c r="V12" s="78"/>
      <c r="W12" s="113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90"/>
      <c r="AO12" s="90"/>
      <c r="AP12" s="90"/>
      <c r="AQ12" s="112"/>
      <c r="AR12" s="92"/>
      <c r="AS12" s="92"/>
      <c r="AT12" s="92"/>
      <c r="AU12" s="79"/>
    </row>
    <row r="13" spans="1:47" ht="14.25" customHeight="1" x14ac:dyDescent="0.3">
      <c r="A13" s="76">
        <v>2</v>
      </c>
      <c r="B13" s="77" t="s">
        <v>101</v>
      </c>
      <c r="C13" s="78"/>
      <c r="D13" s="85"/>
      <c r="E13" s="85"/>
      <c r="F13" s="85"/>
      <c r="G13" s="85"/>
      <c r="H13" s="80" t="s">
        <v>22</v>
      </c>
      <c r="I13" s="111">
        <f>'UT Unit Fungsi'!G13</f>
        <v>1.3651443943405738E-2</v>
      </c>
      <c r="J13" s="188" t="s">
        <v>203</v>
      </c>
      <c r="K13" s="111">
        <f>K8</f>
        <v>0.47899999999999998</v>
      </c>
      <c r="L13" s="111">
        <f>I13*K13</f>
        <v>6.5390416488913484E-3</v>
      </c>
      <c r="M13" s="80" t="s">
        <v>115</v>
      </c>
      <c r="N13" s="81">
        <f>Utilitas!J13/Utilitas!C30</f>
        <v>5.3429011325306891E-2</v>
      </c>
      <c r="O13" s="188" t="s">
        <v>203</v>
      </c>
      <c r="P13" s="125">
        <v>0</v>
      </c>
      <c r="Q13" s="86">
        <f t="shared" ref="Q13:Q14" si="2">N13*P13</f>
        <v>0</v>
      </c>
      <c r="R13" s="78"/>
      <c r="S13" s="78"/>
      <c r="T13" s="78"/>
      <c r="U13" s="78"/>
      <c r="V13" s="87" t="s">
        <v>24</v>
      </c>
      <c r="W13" s="111">
        <f>Utilitas!O13/Utilitas!C30</f>
        <v>6.962981035352022E-8</v>
      </c>
      <c r="X13" s="20" t="s">
        <v>205</v>
      </c>
      <c r="Y13" s="145">
        <f t="shared" ref="Y13:Y15" si="3">Y8</f>
        <v>0.82899999999999996</v>
      </c>
      <c r="Z13" s="126">
        <f t="shared" ref="Z13:Z15" si="4">W13*Y13</f>
        <v>5.7723112783068258E-8</v>
      </c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80" t="s">
        <v>116</v>
      </c>
      <c r="AL13" s="94">
        <f>Utilitas!X13/Utilitas!C30</f>
        <v>3.6329210656642426E-3</v>
      </c>
      <c r="AM13" s="188" t="s">
        <v>200</v>
      </c>
      <c r="AN13" s="128">
        <f>CF!E12</f>
        <v>0.53900000000000003</v>
      </c>
      <c r="AO13" s="128">
        <f t="shared" ref="AO13:AO16" si="5">AL13*AN13</f>
        <v>1.9581444543930269E-3</v>
      </c>
      <c r="AP13" s="95" t="s">
        <v>117</v>
      </c>
      <c r="AQ13" s="111">
        <f>Utilitas!AA13/Utilitas!C30</f>
        <v>1.0685802265061379E-7</v>
      </c>
      <c r="AR13" s="188" t="s">
        <v>203</v>
      </c>
      <c r="AS13" s="147">
        <f>CF!E26</f>
        <v>0.67900000000000005</v>
      </c>
      <c r="AT13" s="130">
        <f t="shared" ref="AT13:AT14" si="6">AQ13*AS13</f>
        <v>7.2556597379766772E-8</v>
      </c>
      <c r="AU13" s="79"/>
    </row>
    <row r="14" spans="1:47" ht="14.25" customHeight="1" x14ac:dyDescent="0.3">
      <c r="A14" s="79"/>
      <c r="B14" s="79"/>
      <c r="C14" s="78"/>
      <c r="D14" s="85"/>
      <c r="E14" s="85"/>
      <c r="F14" s="85"/>
      <c r="G14" s="85"/>
      <c r="H14" s="78"/>
      <c r="I14" s="85"/>
      <c r="J14" s="85"/>
      <c r="K14" s="85"/>
      <c r="L14" s="85"/>
      <c r="M14" s="80" t="s">
        <v>118</v>
      </c>
      <c r="N14" s="81">
        <f>Utilitas!J14/Utilitas!C30</f>
        <v>1.9642121495572963E-2</v>
      </c>
      <c r="O14" s="188" t="s">
        <v>203</v>
      </c>
      <c r="P14" s="125">
        <f>CF!E32</f>
        <v>0.82399999999999995</v>
      </c>
      <c r="Q14" s="86">
        <f t="shared" si="2"/>
        <v>1.6185108112352121E-2</v>
      </c>
      <c r="R14" s="78"/>
      <c r="S14" s="78"/>
      <c r="T14" s="78"/>
      <c r="U14" s="78"/>
      <c r="V14" s="87" t="s">
        <v>29</v>
      </c>
      <c r="W14" s="111">
        <f>Utilitas!O14/Utilitas!C30</f>
        <v>1.058833295138436E-6</v>
      </c>
      <c r="X14" s="18" t="s">
        <v>206</v>
      </c>
      <c r="Y14" s="146">
        <f t="shared" si="3"/>
        <v>1.22</v>
      </c>
      <c r="Z14" s="127">
        <f t="shared" si="4"/>
        <v>1.2917766200688919E-6</v>
      </c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80" t="s">
        <v>119</v>
      </c>
      <c r="AL14" s="94">
        <f>Utilitas!X14/Utilitas!C30</f>
        <v>6.5392579181956359E-2</v>
      </c>
      <c r="AM14" s="188" t="s">
        <v>203</v>
      </c>
      <c r="AN14" s="131">
        <v>0</v>
      </c>
      <c r="AO14" s="132">
        <f t="shared" si="5"/>
        <v>0</v>
      </c>
      <c r="AP14" s="95" t="s">
        <v>121</v>
      </c>
      <c r="AQ14" s="111">
        <f>Utilitas!AA14/Utilitas!C30</f>
        <v>3.9284242991145929E-8</v>
      </c>
      <c r="AR14" s="188" t="s">
        <v>203</v>
      </c>
      <c r="AS14" s="147">
        <f>AS13</f>
        <v>0.67900000000000005</v>
      </c>
      <c r="AT14" s="130">
        <f t="shared" si="6"/>
        <v>2.6674000990988087E-8</v>
      </c>
      <c r="AU14" s="79"/>
    </row>
    <row r="15" spans="1:47" ht="14.25" customHeight="1" x14ac:dyDescent="0.3">
      <c r="A15" s="79"/>
      <c r="B15" s="79"/>
      <c r="C15" s="78"/>
      <c r="D15" s="85"/>
      <c r="E15" s="85"/>
      <c r="F15" s="85"/>
      <c r="G15" s="85"/>
      <c r="H15" s="78"/>
      <c r="I15" s="85"/>
      <c r="J15" s="85"/>
      <c r="K15" s="85"/>
      <c r="L15" s="85"/>
      <c r="M15" s="78"/>
      <c r="N15" s="78"/>
      <c r="O15" s="78"/>
      <c r="P15" s="78"/>
      <c r="Q15" s="78"/>
      <c r="R15" s="78"/>
      <c r="S15" s="78"/>
      <c r="T15" s="78"/>
      <c r="U15" s="78"/>
      <c r="V15" s="87" t="s">
        <v>31</v>
      </c>
      <c r="W15" s="111">
        <f>Utilitas!O15/Utilitas!C30</f>
        <v>4.138249075389676E-5</v>
      </c>
      <c r="X15" s="18" t="s">
        <v>207</v>
      </c>
      <c r="Y15" s="146">
        <f t="shared" si="3"/>
        <v>0.85299999999999998</v>
      </c>
      <c r="Z15" s="127">
        <f t="shared" si="4"/>
        <v>3.5299264613073934E-5</v>
      </c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80" t="s">
        <v>122</v>
      </c>
      <c r="AL15" s="94">
        <f>Utilitas!X15/Utilitas!C30</f>
        <v>7.2658421313284859E-5</v>
      </c>
      <c r="AM15" s="188" t="s">
        <v>203</v>
      </c>
      <c r="AN15" s="125">
        <v>0</v>
      </c>
      <c r="AO15" s="132">
        <f t="shared" si="5"/>
        <v>0</v>
      </c>
      <c r="AP15" s="78"/>
      <c r="AQ15" s="97"/>
      <c r="AR15" s="78"/>
      <c r="AS15" s="78"/>
      <c r="AT15" s="78"/>
      <c r="AU15" s="79"/>
    </row>
    <row r="16" spans="1:47" ht="14.25" customHeight="1" x14ac:dyDescent="0.3">
      <c r="A16" s="98"/>
      <c r="B16" s="98"/>
      <c r="C16" s="84"/>
      <c r="D16" s="99"/>
      <c r="E16" s="99"/>
      <c r="F16" s="99"/>
      <c r="G16" s="99"/>
      <c r="H16" s="84"/>
      <c r="I16" s="99"/>
      <c r="J16" s="99"/>
      <c r="K16" s="99"/>
      <c r="L16" s="99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115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101" t="s">
        <v>123</v>
      </c>
      <c r="AL16" s="102">
        <f>Utilitas!X16/Utilitas!C30</f>
        <v>3.2696289590978186E-3</v>
      </c>
      <c r="AM16" s="188" t="s">
        <v>203</v>
      </c>
      <c r="AN16" s="133">
        <v>0</v>
      </c>
      <c r="AO16" s="132">
        <f t="shared" si="5"/>
        <v>0</v>
      </c>
      <c r="AP16" s="84"/>
      <c r="AQ16" s="84"/>
      <c r="AR16" s="84"/>
      <c r="AS16" s="84"/>
      <c r="AT16" s="84"/>
      <c r="AU16" s="98"/>
    </row>
    <row r="17" spans="1:47" ht="12.75" customHeight="1" x14ac:dyDescent="0.3">
      <c r="A17" s="103"/>
      <c r="B17" s="98"/>
      <c r="C17" s="84"/>
      <c r="D17" s="99"/>
      <c r="E17" s="99"/>
      <c r="F17" s="99"/>
      <c r="G17" s="99"/>
      <c r="H17" s="84"/>
      <c r="I17" s="99"/>
      <c r="J17" s="99"/>
      <c r="K17" s="99"/>
      <c r="L17" s="99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115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98"/>
    </row>
    <row r="18" spans="1:47" ht="12.75" customHeight="1" x14ac:dyDescent="0.3">
      <c r="A18" s="76">
        <v>3</v>
      </c>
      <c r="B18" s="104" t="s">
        <v>102</v>
      </c>
      <c r="C18" s="78"/>
      <c r="D18" s="85"/>
      <c r="E18" s="85"/>
      <c r="F18" s="85"/>
      <c r="G18" s="85"/>
      <c r="H18" s="79" t="s">
        <v>22</v>
      </c>
      <c r="I18" s="116">
        <f>'UT Unit Fungsi'!G18</f>
        <v>2.2169610837840557</v>
      </c>
      <c r="J18" s="188" t="s">
        <v>203</v>
      </c>
      <c r="K18" s="116">
        <f>K8</f>
        <v>0.47899999999999998</v>
      </c>
      <c r="L18" s="116">
        <f>I18*K18</f>
        <v>1.0619243591325627</v>
      </c>
      <c r="M18" s="78"/>
      <c r="N18" s="78"/>
      <c r="O18" s="78"/>
      <c r="P18" s="78"/>
      <c r="Q18" s="78"/>
      <c r="R18" s="117">
        <f>Utilitas!L18/Utilitas!C30</f>
        <v>7.40849022395951E-4</v>
      </c>
      <c r="S18" s="190" t="s">
        <v>203</v>
      </c>
      <c r="T18" s="117">
        <f>CF!E10</f>
        <v>1.0499999999999999E-3</v>
      </c>
      <c r="U18" s="117">
        <f>R18*T18</f>
        <v>7.778914735157485E-7</v>
      </c>
      <c r="V18" s="87" t="s">
        <v>24</v>
      </c>
      <c r="W18" s="117">
        <f>Utilitas!O18/Utilitas!C30</f>
        <v>1.130771077879893E-5</v>
      </c>
      <c r="X18" s="20" t="s">
        <v>205</v>
      </c>
      <c r="Y18" s="145">
        <f t="shared" ref="Y18:Y20" si="7">Y8</f>
        <v>0.82899999999999996</v>
      </c>
      <c r="Z18" s="126">
        <f t="shared" ref="Z18:Z20" si="8">W18*Y18</f>
        <v>9.374092235624312E-6</v>
      </c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9"/>
    </row>
    <row r="19" spans="1:47" ht="14.25" customHeight="1" x14ac:dyDescent="0.3">
      <c r="A19" s="79"/>
      <c r="B19" s="77"/>
      <c r="C19" s="78"/>
      <c r="D19" s="85"/>
      <c r="E19" s="85"/>
      <c r="F19" s="85"/>
      <c r="G19" s="85"/>
      <c r="H19" s="78"/>
      <c r="I19" s="107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87" t="s">
        <v>29</v>
      </c>
      <c r="W19" s="117">
        <f>Utilitas!O19/Utilitas!C30</f>
        <v>1.7195193558045894E-4</v>
      </c>
      <c r="X19" s="18" t="s">
        <v>206</v>
      </c>
      <c r="Y19" s="146">
        <f t="shared" si="7"/>
        <v>1.22</v>
      </c>
      <c r="Z19" s="127">
        <f t="shared" si="8"/>
        <v>2.0978136140815991E-4</v>
      </c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9"/>
    </row>
    <row r="20" spans="1:47" ht="14.25" customHeight="1" x14ac:dyDescent="0.3">
      <c r="A20" s="79"/>
      <c r="B20" s="77"/>
      <c r="C20" s="78"/>
      <c r="D20" s="85"/>
      <c r="E20" s="85"/>
      <c r="F20" s="85"/>
      <c r="G20" s="85"/>
      <c r="H20" s="78"/>
      <c r="I20" s="107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87" t="s">
        <v>31</v>
      </c>
      <c r="W20" s="117">
        <f>Utilitas!O20/Utilitas!C30</f>
        <v>6.7204152126163026E-3</v>
      </c>
      <c r="X20" s="18" t="s">
        <v>207</v>
      </c>
      <c r="Y20" s="146">
        <f t="shared" si="7"/>
        <v>0.85299999999999998</v>
      </c>
      <c r="Z20" s="127">
        <f t="shared" si="8"/>
        <v>5.7325141763617058E-3</v>
      </c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9"/>
    </row>
    <row r="21" spans="1:47" ht="14.25" customHeight="1" x14ac:dyDescent="0.3">
      <c r="A21" s="79"/>
      <c r="B21" s="77"/>
      <c r="C21" s="78"/>
      <c r="D21" s="85"/>
      <c r="E21" s="85"/>
      <c r="F21" s="85"/>
      <c r="G21" s="85"/>
      <c r="H21" s="78"/>
      <c r="I21" s="107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85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9"/>
    </row>
    <row r="22" spans="1:47" ht="14.25" customHeight="1" x14ac:dyDescent="0.3">
      <c r="A22" s="76">
        <v>4</v>
      </c>
      <c r="B22" s="77" t="s">
        <v>103</v>
      </c>
      <c r="C22" s="80" t="s">
        <v>124</v>
      </c>
      <c r="D22" s="111">
        <f>'UT Unit Fungsi'!D22</f>
        <v>0.21396490426821876</v>
      </c>
      <c r="E22" s="188" t="s">
        <v>203</v>
      </c>
      <c r="F22" s="94">
        <v>0</v>
      </c>
      <c r="G22" s="111">
        <f t="shared" ref="G22:G28" si="9">D22*F22</f>
        <v>0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80" t="s">
        <v>124</v>
      </c>
      <c r="AG22" s="111">
        <f>Utilitas!U22/Utilitas!C30</f>
        <v>2.1398182754583456E-4</v>
      </c>
      <c r="AH22" s="188" t="s">
        <v>203</v>
      </c>
      <c r="AI22" s="81">
        <f>CF!E34</f>
        <v>2.85</v>
      </c>
      <c r="AJ22" s="111">
        <f t="shared" ref="AJ22:AJ28" si="10">AG22*AI22</f>
        <v>6.0984820850562853E-4</v>
      </c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9"/>
    </row>
    <row r="23" spans="1:47" ht="14.25" customHeight="1" x14ac:dyDescent="0.3">
      <c r="A23" s="79"/>
      <c r="B23" s="79"/>
      <c r="C23" s="108" t="s">
        <v>125</v>
      </c>
      <c r="D23" s="111">
        <f>'UT Unit Fungsi'!D23</f>
        <v>2.3811919465810231E-3</v>
      </c>
      <c r="E23" s="188" t="s">
        <v>203</v>
      </c>
      <c r="F23" s="94">
        <v>0</v>
      </c>
      <c r="G23" s="111">
        <f t="shared" si="9"/>
        <v>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108" t="s">
        <v>125</v>
      </c>
      <c r="AG23" s="111">
        <f>Utilitas!U23/Utilitas!C30</f>
        <v>2.3811919465810231E-6</v>
      </c>
      <c r="AH23" s="188" t="s">
        <v>203</v>
      </c>
      <c r="AI23" s="86">
        <f>F23</f>
        <v>0</v>
      </c>
      <c r="AJ23" s="111">
        <f t="shared" si="10"/>
        <v>0</v>
      </c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9"/>
    </row>
    <row r="24" spans="1:47" ht="14.25" customHeight="1" x14ac:dyDescent="0.3">
      <c r="A24" s="79"/>
      <c r="B24" s="79"/>
      <c r="C24" s="108" t="s">
        <v>126</v>
      </c>
      <c r="D24" s="111">
        <f>'UT Unit Fungsi'!D24</f>
        <v>2.6502286676525925E-2</v>
      </c>
      <c r="E24" s="188" t="s">
        <v>203</v>
      </c>
      <c r="F24" s="94">
        <v>0</v>
      </c>
      <c r="G24" s="111">
        <f t="shared" si="9"/>
        <v>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108" t="s">
        <v>126</v>
      </c>
      <c r="AG24" s="111">
        <f>Utilitas!U24/Utilitas!C30</f>
        <v>2.6502286676525927E-5</v>
      </c>
      <c r="AH24" s="188" t="s">
        <v>203</v>
      </c>
      <c r="AI24" s="81">
        <f>CF!E29</f>
        <v>1.8400000000000001E-3</v>
      </c>
      <c r="AJ24" s="111">
        <f t="shared" si="10"/>
        <v>4.8764207484807707E-8</v>
      </c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/>
    </row>
    <row r="25" spans="1:47" ht="14.25" customHeight="1" x14ac:dyDescent="0.3">
      <c r="A25" s="79"/>
      <c r="B25" s="79"/>
      <c r="C25" s="80" t="s">
        <v>127</v>
      </c>
      <c r="D25" s="111">
        <f>'UT Unit Fungsi'!D25</f>
        <v>4.7189908736343759E-3</v>
      </c>
      <c r="E25" s="188" t="s">
        <v>203</v>
      </c>
      <c r="F25" s="94">
        <v>0</v>
      </c>
      <c r="G25" s="111">
        <f t="shared" si="9"/>
        <v>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80" t="s">
        <v>127</v>
      </c>
      <c r="AG25" s="111">
        <f>Utilitas!U25/Utilitas!C30</f>
        <v>4.7189908736343763E-6</v>
      </c>
      <c r="AH25" s="188" t="s">
        <v>203</v>
      </c>
      <c r="AI25" s="86">
        <f>CF!E31</f>
        <v>0.66600000000000004</v>
      </c>
      <c r="AJ25" s="111">
        <f t="shared" si="10"/>
        <v>3.1428479218404946E-6</v>
      </c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9"/>
    </row>
    <row r="26" spans="1:47" ht="14.25" customHeight="1" x14ac:dyDescent="0.3">
      <c r="A26" s="79"/>
      <c r="B26" s="79"/>
      <c r="C26" s="108" t="s">
        <v>128</v>
      </c>
      <c r="D26" s="118">
        <f>'UT Unit Fungsi'!D26</f>
        <v>5.0335902652099982E-3</v>
      </c>
      <c r="E26" s="188" t="s">
        <v>203</v>
      </c>
      <c r="F26" s="94">
        <v>0</v>
      </c>
      <c r="G26" s="111">
        <f t="shared" si="9"/>
        <v>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108" t="s">
        <v>128</v>
      </c>
      <c r="AG26" s="111">
        <f>Utilitas!U26/Utilitas!C30</f>
        <v>5.0335902652099982E-6</v>
      </c>
      <c r="AH26" s="188" t="s">
        <v>203</v>
      </c>
      <c r="AI26" s="111">
        <f>CF!E13</f>
        <v>8.5500000000000007</v>
      </c>
      <c r="AJ26" s="111">
        <f t="shared" si="10"/>
        <v>4.3037196767545489E-5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9"/>
    </row>
    <row r="27" spans="1:47" ht="14.25" customHeight="1" x14ac:dyDescent="0.3">
      <c r="A27" s="79"/>
      <c r="B27" s="79"/>
      <c r="C27" s="108" t="s">
        <v>129</v>
      </c>
      <c r="D27" s="111">
        <f>'UT Unit Fungsi'!D27</f>
        <v>1.3180597136765854E-2</v>
      </c>
      <c r="E27" s="188" t="s">
        <v>203</v>
      </c>
      <c r="F27" s="94">
        <v>0</v>
      </c>
      <c r="G27" s="111">
        <f t="shared" si="9"/>
        <v>0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108" t="s">
        <v>129</v>
      </c>
      <c r="AG27" s="111">
        <f>Utilitas!U27/Utilitas!C30</f>
        <v>1.3180597136765854E-5</v>
      </c>
      <c r="AH27" s="188" t="s">
        <v>203</v>
      </c>
      <c r="AI27" s="81">
        <f>CF!E25</f>
        <v>3.4000000000000002E-2</v>
      </c>
      <c r="AJ27" s="111">
        <f t="shared" si="10"/>
        <v>4.4814030265003905E-7</v>
      </c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9"/>
    </row>
    <row r="28" spans="1:47" ht="14.25" customHeight="1" x14ac:dyDescent="0.3">
      <c r="A28" s="79"/>
      <c r="B28" s="79"/>
      <c r="C28" s="80" t="s">
        <v>130</v>
      </c>
      <c r="D28" s="111">
        <f>'UT Unit Fungsi'!D28</f>
        <v>1.4428178992951074E-3</v>
      </c>
      <c r="E28" s="188" t="s">
        <v>203</v>
      </c>
      <c r="F28" s="94">
        <v>0</v>
      </c>
      <c r="G28" s="111">
        <f t="shared" si="9"/>
        <v>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80" t="s">
        <v>130</v>
      </c>
      <c r="AG28" s="111">
        <f>Utilitas!U28/Utilitas!C30</f>
        <v>1.4428178992951075E-6</v>
      </c>
      <c r="AH28" s="188" t="s">
        <v>203</v>
      </c>
      <c r="AI28" s="81">
        <f>CF!E34</f>
        <v>2.85</v>
      </c>
      <c r="AJ28" s="111">
        <f t="shared" si="10"/>
        <v>4.1120310129910565E-6</v>
      </c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9"/>
    </row>
    <row r="29" spans="1:47" ht="14.25" customHeight="1" x14ac:dyDescent="0.3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</row>
    <row r="30" spans="1:47" ht="14.25" customHeight="1" x14ac:dyDescent="0.35">
      <c r="A30" s="109"/>
      <c r="B30" s="135" t="s">
        <v>92</v>
      </c>
      <c r="C30" s="109"/>
      <c r="D30" s="136" t="s">
        <v>100</v>
      </c>
      <c r="E30" s="137">
        <f>SUM(G5:G7,L8,Z8:Z10,AE6,AT6)</f>
        <v>3.2247149482422595E-3</v>
      </c>
      <c r="F30" s="109"/>
      <c r="G30" s="381" t="s">
        <v>210</v>
      </c>
      <c r="H30" s="381"/>
      <c r="I30" s="381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</row>
    <row r="31" spans="1:47" ht="14.25" customHeight="1" x14ac:dyDescent="0.35">
      <c r="A31" s="109"/>
      <c r="B31" s="138">
        <f>SUM(G5:G7,L8,L13,L18,Q13:Q14,U18,Z8:Z10,Z13:Z15,Z18:Z20,AE6,AJ22:AJ28,AO13:AO16,AT6,AT13:AT14)</f>
        <v>1.0964812010015832</v>
      </c>
      <c r="C31" s="109"/>
      <c r="D31" s="136" t="s">
        <v>101</v>
      </c>
      <c r="E31" s="137">
        <f>SUM(L13,Q13:Q14,Z13:Z15,AO13:AO16,AT13:AT14)</f>
        <v>2.4719042210580792E-2</v>
      </c>
      <c r="F31" s="109"/>
      <c r="G31" s="197" t="s">
        <v>86</v>
      </c>
      <c r="H31" s="195" t="s">
        <v>211</v>
      </c>
      <c r="I31" s="197" t="s">
        <v>212</v>
      </c>
      <c r="J31" s="109"/>
      <c r="K31" s="109"/>
      <c r="L31" s="109"/>
      <c r="M31" s="10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</row>
    <row r="32" spans="1:47" ht="14.25" customHeight="1" x14ac:dyDescent="0.35">
      <c r="A32" s="109"/>
      <c r="B32" s="135" t="s">
        <v>93</v>
      </c>
      <c r="C32" s="109"/>
      <c r="D32" s="136" t="s">
        <v>102</v>
      </c>
      <c r="E32" s="137">
        <f>SUM(L18,U18,Z18:Z20)</f>
        <v>1.0678768066540416</v>
      </c>
      <c r="F32" s="109"/>
      <c r="G32" s="215">
        <f>G5</f>
        <v>5.6176063379844325E-6</v>
      </c>
      <c r="H32" s="216">
        <f>(G32/$G$71)*100%</f>
        <v>5.1233038312494713E-6</v>
      </c>
      <c r="I32" s="220"/>
      <c r="J32" s="109"/>
      <c r="K32" s="109"/>
      <c r="L32" s="109"/>
      <c r="M32" s="109"/>
      <c r="N32" s="140"/>
      <c r="O32" s="139"/>
      <c r="P32" s="139"/>
      <c r="Q32" s="139"/>
      <c r="R32" s="139"/>
      <c r="S32" s="139"/>
      <c r="T32" s="139"/>
      <c r="U32" s="139"/>
      <c r="V32" s="139"/>
      <c r="W32" s="13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</row>
    <row r="33" spans="1:47" ht="14.25" customHeight="1" x14ac:dyDescent="0.3">
      <c r="A33" s="109"/>
      <c r="B33" s="109"/>
      <c r="C33" s="109"/>
      <c r="D33" s="136" t="s">
        <v>103</v>
      </c>
      <c r="E33" s="137">
        <f>SUM(AJ22:AJ28)</f>
        <v>6.6063718871814045E-4</v>
      </c>
      <c r="F33" s="109"/>
      <c r="G33" s="215">
        <f t="shared" ref="G33:G34" si="11">G6</f>
        <v>0</v>
      </c>
      <c r="H33" s="216">
        <f t="shared" ref="H33:H70" si="12">(G33/$G$71)*100%</f>
        <v>0</v>
      </c>
      <c r="I33" s="220"/>
      <c r="J33" s="109"/>
      <c r="K33" s="109"/>
      <c r="L33" s="109"/>
      <c r="M33" s="109"/>
      <c r="N33" s="141"/>
      <c r="O33" s="142"/>
      <c r="P33" s="142"/>
      <c r="Q33" s="142"/>
      <c r="R33" s="141"/>
      <c r="S33" s="139"/>
      <c r="T33" s="139"/>
      <c r="U33" s="139"/>
      <c r="V33" s="139"/>
      <c r="W33" s="13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</row>
    <row r="34" spans="1:47" ht="14.25" customHeight="1" x14ac:dyDescent="0.3">
      <c r="A34" s="109"/>
      <c r="B34" s="109"/>
      <c r="C34" s="109"/>
      <c r="D34" s="109"/>
      <c r="E34" s="137">
        <f>SUM(E30:E33)</f>
        <v>1.0964812010015828</v>
      </c>
      <c r="F34" s="109"/>
      <c r="G34" s="215">
        <f t="shared" si="11"/>
        <v>0</v>
      </c>
      <c r="H34" s="216">
        <f t="shared" si="12"/>
        <v>0</v>
      </c>
      <c r="I34" s="220"/>
      <c r="J34" s="109"/>
      <c r="K34" s="109"/>
      <c r="L34" s="109"/>
      <c r="M34" s="109"/>
      <c r="N34" s="141"/>
      <c r="O34" s="142"/>
      <c r="P34" s="142"/>
      <c r="Q34" s="142"/>
      <c r="R34" s="141"/>
      <c r="S34" s="139"/>
      <c r="T34" s="139"/>
      <c r="U34" s="139"/>
      <c r="V34" s="139"/>
      <c r="W34" s="13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</row>
    <row r="35" spans="1:47" ht="14.25" customHeight="1" x14ac:dyDescent="0.3">
      <c r="A35" s="109"/>
      <c r="B35" s="109"/>
      <c r="C35" s="109"/>
      <c r="D35" s="109"/>
      <c r="E35" s="109"/>
      <c r="F35" s="109"/>
      <c r="G35" s="223">
        <f>G22</f>
        <v>0</v>
      </c>
      <c r="H35" s="224">
        <f t="shared" si="12"/>
        <v>0</v>
      </c>
      <c r="I35" s="229"/>
      <c r="J35" s="109"/>
      <c r="K35" s="109"/>
      <c r="L35" s="109"/>
      <c r="M35" s="109"/>
      <c r="N35" s="141"/>
      <c r="O35" s="142"/>
      <c r="P35" s="142"/>
      <c r="Q35" s="142"/>
      <c r="R35" s="141"/>
      <c r="S35" s="139"/>
      <c r="T35" s="139"/>
      <c r="U35" s="139"/>
      <c r="V35" s="139"/>
      <c r="W35" s="13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</row>
    <row r="36" spans="1:47" ht="14.25" customHeight="1" x14ac:dyDescent="0.3">
      <c r="A36" s="109"/>
      <c r="B36" s="109"/>
      <c r="C36" s="109"/>
      <c r="D36" s="109"/>
      <c r="E36" s="109"/>
      <c r="F36" s="109"/>
      <c r="G36" s="215">
        <f t="shared" ref="G36:G41" si="13">G23</f>
        <v>0</v>
      </c>
      <c r="H36" s="216">
        <f t="shared" si="12"/>
        <v>0</v>
      </c>
      <c r="I36" s="220"/>
      <c r="J36" s="109"/>
      <c r="K36" s="109"/>
      <c r="L36" s="109"/>
      <c r="M36" s="109"/>
      <c r="N36" s="141"/>
      <c r="O36" s="142"/>
      <c r="P36" s="142"/>
      <c r="Q36" s="142"/>
      <c r="R36" s="141"/>
      <c r="S36" s="139"/>
      <c r="T36" s="139"/>
      <c r="U36" s="139"/>
      <c r="V36" s="139"/>
      <c r="W36" s="13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</row>
    <row r="37" spans="1:47" ht="14.25" customHeight="1" x14ac:dyDescent="0.3">
      <c r="A37" s="109"/>
      <c r="B37" s="109"/>
      <c r="C37" s="109"/>
      <c r="D37" s="109"/>
      <c r="E37" s="109"/>
      <c r="F37" s="109"/>
      <c r="G37" s="215">
        <f t="shared" si="13"/>
        <v>0</v>
      </c>
      <c r="H37" s="216">
        <f t="shared" si="12"/>
        <v>0</v>
      </c>
      <c r="I37" s="220"/>
      <c r="J37" s="109"/>
      <c r="K37" s="109"/>
      <c r="L37" s="109"/>
      <c r="M37" s="109"/>
      <c r="N37" s="141"/>
      <c r="O37" s="142"/>
      <c r="P37" s="142"/>
      <c r="Q37" s="142"/>
      <c r="R37" s="141"/>
      <c r="S37" s="139"/>
      <c r="T37" s="139"/>
      <c r="U37" s="139"/>
      <c r="V37" s="139"/>
      <c r="W37" s="13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</row>
    <row r="38" spans="1:47" ht="14.25" customHeight="1" x14ac:dyDescent="0.3">
      <c r="A38" s="109"/>
      <c r="B38" s="109"/>
      <c r="C38" s="109"/>
      <c r="D38" s="109"/>
      <c r="E38" s="109"/>
      <c r="F38" s="109"/>
      <c r="G38" s="215">
        <f t="shared" si="13"/>
        <v>0</v>
      </c>
      <c r="H38" s="216">
        <f t="shared" si="12"/>
        <v>0</v>
      </c>
      <c r="I38" s="220"/>
      <c r="J38" s="109"/>
      <c r="K38" s="109"/>
      <c r="L38" s="109"/>
      <c r="M38" s="109"/>
      <c r="N38" s="141"/>
      <c r="O38" s="142"/>
      <c r="P38" s="142"/>
      <c r="Q38" s="142"/>
      <c r="R38" s="141"/>
      <c r="S38" s="139"/>
      <c r="T38" s="139"/>
      <c r="U38" s="139"/>
      <c r="V38" s="139"/>
      <c r="W38" s="13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</row>
    <row r="39" spans="1:47" ht="14.25" customHeight="1" x14ac:dyDescent="0.3">
      <c r="A39" s="109"/>
      <c r="B39" s="109"/>
      <c r="C39" s="109"/>
      <c r="D39" s="109"/>
      <c r="E39" s="109"/>
      <c r="F39" s="109"/>
      <c r="G39" s="215">
        <f t="shared" si="13"/>
        <v>0</v>
      </c>
      <c r="H39" s="216">
        <f t="shared" si="12"/>
        <v>0</v>
      </c>
      <c r="I39" s="220"/>
      <c r="J39" s="109"/>
      <c r="K39" s="109"/>
      <c r="L39" s="109"/>
      <c r="M39" s="109"/>
      <c r="N39" s="140"/>
      <c r="O39" s="139"/>
      <c r="P39" s="139"/>
      <c r="Q39" s="139"/>
      <c r="R39" s="141"/>
      <c r="S39" s="143"/>
      <c r="T39" s="143"/>
      <c r="U39" s="143"/>
      <c r="V39" s="143"/>
      <c r="W39" s="143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</row>
    <row r="40" spans="1:47" ht="14.25" customHeight="1" x14ac:dyDescent="0.3">
      <c r="A40" s="109"/>
      <c r="B40" s="109"/>
      <c r="C40" s="109"/>
      <c r="D40" s="109"/>
      <c r="E40" s="109"/>
      <c r="F40" s="109"/>
      <c r="G40" s="215">
        <f t="shared" si="13"/>
        <v>0</v>
      </c>
      <c r="H40" s="216">
        <f t="shared" si="12"/>
        <v>0</v>
      </c>
      <c r="I40" s="220"/>
      <c r="J40" s="109"/>
      <c r="K40" s="109"/>
      <c r="L40" s="109"/>
      <c r="M40" s="109"/>
      <c r="N40" s="144"/>
      <c r="O40" s="142"/>
      <c r="P40" s="142"/>
      <c r="Q40" s="142"/>
      <c r="R40" s="141"/>
      <c r="S40" s="143"/>
      <c r="T40" s="143"/>
      <c r="U40" s="143"/>
      <c r="V40" s="143"/>
      <c r="W40" s="143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</row>
    <row r="41" spans="1:47" ht="14.25" customHeight="1" x14ac:dyDescent="0.3">
      <c r="A41" s="109"/>
      <c r="B41" s="109"/>
      <c r="C41" s="109"/>
      <c r="D41" s="109"/>
      <c r="E41" s="109"/>
      <c r="F41" s="109"/>
      <c r="G41" s="223">
        <f t="shared" si="13"/>
        <v>0</v>
      </c>
      <c r="H41" s="224">
        <f t="shared" si="12"/>
        <v>0</v>
      </c>
      <c r="I41" s="225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</row>
    <row r="42" spans="1:47" ht="14.25" customHeight="1" x14ac:dyDescent="0.3">
      <c r="A42" s="109"/>
      <c r="B42" s="109"/>
      <c r="C42" s="109"/>
      <c r="D42" s="109"/>
      <c r="E42" s="109"/>
      <c r="F42" s="109"/>
      <c r="G42" s="215">
        <f>L8</f>
        <v>3.2009294784782825E-3</v>
      </c>
      <c r="H42" s="216">
        <f t="shared" si="12"/>
        <v>2.9192743802213721E-3</v>
      </c>
      <c r="I42" s="220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</row>
    <row r="43" spans="1:47" ht="14.25" customHeight="1" x14ac:dyDescent="0.3">
      <c r="A43" s="109"/>
      <c r="B43" s="109"/>
      <c r="C43" s="109"/>
      <c r="D43" s="109"/>
      <c r="E43" s="109"/>
      <c r="F43" s="109"/>
      <c r="G43" s="215">
        <f>L13</f>
        <v>6.5390416488913484E-3</v>
      </c>
      <c r="H43" s="216">
        <f t="shared" si="12"/>
        <v>5.9636605195950883E-3</v>
      </c>
      <c r="I43" s="220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</row>
    <row r="44" spans="1:47" ht="14.25" customHeight="1" x14ac:dyDescent="0.3">
      <c r="A44" s="109"/>
      <c r="B44" s="109"/>
      <c r="C44" s="109"/>
      <c r="D44" s="109"/>
      <c r="E44" s="109"/>
      <c r="F44" s="109"/>
      <c r="G44" s="221">
        <f>L18</f>
        <v>1.0619243591325627</v>
      </c>
      <c r="H44" s="222">
        <f t="shared" si="12"/>
        <v>0.96848387201034136</v>
      </c>
      <c r="I44" s="246" t="s">
        <v>248</v>
      </c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</row>
    <row r="45" spans="1:47" ht="14.25" customHeight="1" x14ac:dyDescent="0.3">
      <c r="A45" s="109"/>
      <c r="B45" s="109"/>
      <c r="C45" s="109"/>
      <c r="D45" s="109"/>
      <c r="E45" s="109"/>
      <c r="F45" s="109"/>
      <c r="G45" s="217">
        <f>Q13</f>
        <v>0</v>
      </c>
      <c r="H45" s="216">
        <f t="shared" si="12"/>
        <v>0</v>
      </c>
      <c r="I45" s="220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</row>
    <row r="46" spans="1:47" ht="14.25" customHeight="1" x14ac:dyDescent="0.3">
      <c r="A46" s="109"/>
      <c r="B46" s="109"/>
      <c r="C46" s="109"/>
      <c r="D46" s="109"/>
      <c r="E46" s="109"/>
      <c r="F46" s="109"/>
      <c r="G46" s="217">
        <f>Q14</f>
        <v>1.6185108112352121E-2</v>
      </c>
      <c r="H46" s="216">
        <f t="shared" si="12"/>
        <v>1.4760953582758918E-2</v>
      </c>
      <c r="I46" s="220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</row>
    <row r="47" spans="1:47" ht="14.25" customHeight="1" x14ac:dyDescent="0.3">
      <c r="A47" s="109"/>
      <c r="B47" s="109"/>
      <c r="C47" s="109"/>
      <c r="D47" s="109"/>
      <c r="E47" s="109"/>
      <c r="F47" s="109"/>
      <c r="G47" s="215">
        <f>U18</f>
        <v>7.778914735157485E-7</v>
      </c>
      <c r="H47" s="216">
        <f t="shared" si="12"/>
        <v>7.0944351148490445E-7</v>
      </c>
      <c r="I47" s="220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</row>
    <row r="48" spans="1:47" ht="14.25" customHeight="1" x14ac:dyDescent="0.3">
      <c r="A48" s="109"/>
      <c r="B48" s="109"/>
      <c r="C48" s="109"/>
      <c r="D48" s="109"/>
      <c r="E48" s="109"/>
      <c r="F48" s="109"/>
      <c r="G48" s="215">
        <f>Z8</f>
        <v>2.8256069194508937E-8</v>
      </c>
      <c r="H48" s="216">
        <f t="shared" si="12"/>
        <v>2.5769770761868391E-8</v>
      </c>
      <c r="I48" s="220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</row>
    <row r="49" spans="1:47" ht="14.25" customHeight="1" x14ac:dyDescent="0.3">
      <c r="A49" s="109"/>
      <c r="B49" s="109"/>
      <c r="C49" s="109"/>
      <c r="D49" s="109"/>
      <c r="E49" s="109"/>
      <c r="F49" s="109"/>
      <c r="G49" s="215">
        <f t="shared" ref="G49:G50" si="14">Z9</f>
        <v>6.3233820562812899E-7</v>
      </c>
      <c r="H49" s="216">
        <f t="shared" si="12"/>
        <v>5.7669771725271556E-7</v>
      </c>
      <c r="I49" s="220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</row>
    <row r="50" spans="1:47" ht="14.25" customHeight="1" x14ac:dyDescent="0.3">
      <c r="A50" s="109"/>
      <c r="B50" s="109"/>
      <c r="C50" s="109"/>
      <c r="D50" s="109"/>
      <c r="E50" s="109"/>
      <c r="F50" s="109"/>
      <c r="G50" s="215">
        <f t="shared" si="14"/>
        <v>1.7279360300106121E-5</v>
      </c>
      <c r="H50" s="216">
        <f t="shared" si="12"/>
        <v>1.5758920704087085E-5</v>
      </c>
      <c r="I50" s="220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</row>
    <row r="51" spans="1:47" ht="14.25" customHeight="1" x14ac:dyDescent="0.3">
      <c r="A51" s="109"/>
      <c r="B51" s="109"/>
      <c r="C51" s="109"/>
      <c r="D51" s="109"/>
      <c r="E51" s="109"/>
      <c r="F51" s="109"/>
      <c r="G51" s="215">
        <f>Z13</f>
        <v>5.7723112783068258E-8</v>
      </c>
      <c r="H51" s="216">
        <f t="shared" si="12"/>
        <v>5.2643960270674002E-8</v>
      </c>
      <c r="I51" s="220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</row>
    <row r="52" spans="1:47" ht="14.25" customHeight="1" x14ac:dyDescent="0.3">
      <c r="A52" s="109"/>
      <c r="B52" s="109"/>
      <c r="C52" s="109"/>
      <c r="D52" s="109"/>
      <c r="E52" s="109"/>
      <c r="F52" s="109"/>
      <c r="G52" s="215">
        <f t="shared" ref="G52:G53" si="15">Z14</f>
        <v>1.2917766200688919E-6</v>
      </c>
      <c r="H52" s="216">
        <f t="shared" si="12"/>
        <v>1.1781110509591188E-6</v>
      </c>
      <c r="I52" s="220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</row>
    <row r="53" spans="1:47" ht="14.25" customHeight="1" x14ac:dyDescent="0.3">
      <c r="A53" s="109"/>
      <c r="B53" s="109"/>
      <c r="C53" s="109"/>
      <c r="D53" s="109"/>
      <c r="E53" s="109"/>
      <c r="F53" s="109"/>
      <c r="G53" s="215">
        <f t="shared" si="15"/>
        <v>3.5299264613073934E-5</v>
      </c>
      <c r="H53" s="216">
        <f t="shared" si="12"/>
        <v>3.2193223724063616E-5</v>
      </c>
      <c r="I53" s="220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</row>
    <row r="54" spans="1:47" ht="14.25" customHeight="1" x14ac:dyDescent="0.3">
      <c r="A54" s="109"/>
      <c r="B54" s="109"/>
      <c r="C54" s="109"/>
      <c r="D54" s="109"/>
      <c r="E54" s="109"/>
      <c r="F54" s="109"/>
      <c r="G54" s="215">
        <f>Z18</f>
        <v>9.374092235624312E-6</v>
      </c>
      <c r="H54" s="216">
        <f t="shared" si="12"/>
        <v>8.549250299103647E-6</v>
      </c>
      <c r="I54" s="220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</row>
    <row r="55" spans="1:47" ht="14.25" customHeight="1" x14ac:dyDescent="0.3">
      <c r="A55" s="109"/>
      <c r="B55" s="109"/>
      <c r="C55" s="109"/>
      <c r="D55" s="109"/>
      <c r="E55" s="109"/>
      <c r="F55" s="109"/>
      <c r="G55" s="215">
        <f t="shared" ref="G55:G56" si="16">Z19</f>
        <v>2.0978136140815991E-4</v>
      </c>
      <c r="H55" s="216">
        <f t="shared" si="12"/>
        <v>1.9132235118717462E-4</v>
      </c>
      <c r="I55" s="220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</row>
    <row r="56" spans="1:47" ht="14.25" customHeight="1" x14ac:dyDescent="0.3">
      <c r="A56" s="109"/>
      <c r="B56" s="109"/>
      <c r="C56" s="109"/>
      <c r="D56" s="109"/>
      <c r="E56" s="109"/>
      <c r="F56" s="109"/>
      <c r="G56" s="215">
        <f t="shared" si="16"/>
        <v>5.7325141763617058E-3</v>
      </c>
      <c r="H56" s="216">
        <f t="shared" si="12"/>
        <v>5.2281007381844106E-3</v>
      </c>
      <c r="I56" s="220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</row>
    <row r="57" spans="1:47" ht="14.25" customHeight="1" x14ac:dyDescent="0.3">
      <c r="A57" s="109"/>
      <c r="B57" s="109"/>
      <c r="C57" s="109"/>
      <c r="D57" s="109"/>
      <c r="E57" s="109"/>
      <c r="F57" s="109"/>
      <c r="G57" s="215">
        <f>AE6</f>
        <v>0</v>
      </c>
      <c r="H57" s="216">
        <f t="shared" si="12"/>
        <v>0</v>
      </c>
      <c r="I57" s="220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</row>
    <row r="58" spans="1:47" ht="14.25" customHeight="1" x14ac:dyDescent="0.3">
      <c r="A58" s="109"/>
      <c r="B58" s="109"/>
      <c r="C58" s="109"/>
      <c r="D58" s="109"/>
      <c r="E58" s="109"/>
      <c r="F58" s="109"/>
      <c r="G58" s="215">
        <f>AJ22</f>
        <v>6.0984820850562853E-4</v>
      </c>
      <c r="H58" s="216">
        <f t="shared" si="12"/>
        <v>5.5618665230973527E-4</v>
      </c>
      <c r="I58" s="220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</row>
    <row r="59" spans="1:47" ht="14.25" customHeight="1" x14ac:dyDescent="0.3">
      <c r="A59" s="109"/>
      <c r="B59" s="109"/>
      <c r="C59" s="109"/>
      <c r="D59" s="109"/>
      <c r="E59" s="109"/>
      <c r="F59" s="109"/>
      <c r="G59" s="215">
        <f t="shared" ref="G59:G64" si="17">AJ23</f>
        <v>0</v>
      </c>
      <c r="H59" s="216">
        <f t="shared" si="12"/>
        <v>0</v>
      </c>
      <c r="I59" s="220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</row>
    <row r="60" spans="1:47" ht="14.25" customHeight="1" x14ac:dyDescent="0.3">
      <c r="A60" s="109"/>
      <c r="B60" s="109"/>
      <c r="C60" s="109"/>
      <c r="D60" s="109"/>
      <c r="E60" s="109"/>
      <c r="F60" s="109"/>
      <c r="G60" s="215">
        <f t="shared" si="17"/>
        <v>4.8764207484807707E-8</v>
      </c>
      <c r="H60" s="216">
        <f t="shared" si="12"/>
        <v>4.4473363921117781E-8</v>
      </c>
      <c r="I60" s="220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</row>
    <row r="61" spans="1:47" ht="14.25" customHeight="1" x14ac:dyDescent="0.3">
      <c r="A61" s="109"/>
      <c r="B61" s="109"/>
      <c r="C61" s="109"/>
      <c r="D61" s="109"/>
      <c r="E61" s="109"/>
      <c r="F61" s="109"/>
      <c r="G61" s="215">
        <f t="shared" si="17"/>
        <v>3.1428479218404946E-6</v>
      </c>
      <c r="H61" s="216">
        <f t="shared" si="12"/>
        <v>2.866303516165761E-6</v>
      </c>
      <c r="I61" s="220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</row>
    <row r="62" spans="1:47" ht="14.25" customHeight="1" x14ac:dyDescent="0.3">
      <c r="A62" s="109"/>
      <c r="B62" s="109"/>
      <c r="C62" s="109"/>
      <c r="D62" s="109"/>
      <c r="E62" s="109"/>
      <c r="F62" s="109"/>
      <c r="G62" s="215">
        <f t="shared" si="17"/>
        <v>4.3037196767545489E-5</v>
      </c>
      <c r="H62" s="216">
        <f t="shared" si="12"/>
        <v>3.9250282383531121E-5</v>
      </c>
      <c r="I62" s="220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</row>
    <row r="63" spans="1:47" ht="14.25" customHeight="1" x14ac:dyDescent="0.3">
      <c r="A63" s="109"/>
      <c r="B63" s="109"/>
      <c r="C63" s="109"/>
      <c r="D63" s="109"/>
      <c r="E63" s="109"/>
      <c r="F63" s="109"/>
      <c r="G63" s="215">
        <f t="shared" si="17"/>
        <v>4.4814030265003905E-7</v>
      </c>
      <c r="H63" s="216">
        <f t="shared" si="12"/>
        <v>4.0870769352058593E-7</v>
      </c>
      <c r="I63" s="220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</row>
    <row r="64" spans="1:47" ht="14.25" customHeight="1" x14ac:dyDescent="0.3">
      <c r="A64" s="109"/>
      <c r="B64" s="109"/>
      <c r="C64" s="109"/>
      <c r="D64" s="109"/>
      <c r="E64" s="109"/>
      <c r="F64" s="109"/>
      <c r="G64" s="215">
        <f t="shared" si="17"/>
        <v>4.1120310129910565E-6</v>
      </c>
      <c r="H64" s="216">
        <f t="shared" si="12"/>
        <v>3.7502065783115231E-6</v>
      </c>
      <c r="I64" s="220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</row>
    <row r="65" spans="1:47" ht="14.25" customHeight="1" x14ac:dyDescent="0.3">
      <c r="A65" s="109"/>
      <c r="B65" s="109"/>
      <c r="C65" s="109"/>
      <c r="D65" s="109"/>
      <c r="E65" s="109"/>
      <c r="F65" s="109"/>
      <c r="G65" s="223">
        <f>AO13</f>
        <v>1.9581444543930269E-3</v>
      </c>
      <c r="H65" s="224">
        <f t="shared" si="12"/>
        <v>1.7858440733907299E-3</v>
      </c>
      <c r="I65" s="225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</row>
    <row r="66" spans="1:47" ht="14.25" customHeight="1" x14ac:dyDescent="0.3">
      <c r="A66" s="109"/>
      <c r="B66" s="109"/>
      <c r="C66" s="109"/>
      <c r="D66" s="109"/>
      <c r="E66" s="109"/>
      <c r="F66" s="109"/>
      <c r="G66" s="215">
        <f t="shared" ref="G66:G67" si="18">AO14</f>
        <v>0</v>
      </c>
      <c r="H66" s="216">
        <f t="shared" si="12"/>
        <v>0</v>
      </c>
      <c r="I66" s="220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</row>
    <row r="67" spans="1:47" ht="14.25" customHeight="1" x14ac:dyDescent="0.3">
      <c r="A67" s="109"/>
      <c r="B67" s="109"/>
      <c r="C67" s="109"/>
      <c r="D67" s="109"/>
      <c r="E67" s="109"/>
      <c r="F67" s="109"/>
      <c r="G67" s="215">
        <f t="shared" si="18"/>
        <v>0</v>
      </c>
      <c r="H67" s="216">
        <f t="shared" si="12"/>
        <v>0</v>
      </c>
      <c r="I67" s="220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</row>
    <row r="68" spans="1:47" ht="14.25" customHeight="1" x14ac:dyDescent="0.3">
      <c r="A68" s="109"/>
      <c r="B68" s="109"/>
      <c r="C68" s="109"/>
      <c r="D68" s="109"/>
      <c r="E68" s="109"/>
      <c r="F68" s="109"/>
      <c r="G68" s="215">
        <f>AT6</f>
        <v>2.2790885106403757E-7</v>
      </c>
      <c r="H68" s="216">
        <f t="shared" si="12"/>
        <v>2.0785477293714997E-7</v>
      </c>
      <c r="I68" s="220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</row>
    <row r="69" spans="1:47" ht="14.25" customHeight="1" x14ac:dyDescent="0.3">
      <c r="A69" s="109"/>
      <c r="B69" s="109"/>
      <c r="C69" s="109"/>
      <c r="D69" s="109"/>
      <c r="E69" s="109"/>
      <c r="F69" s="109"/>
      <c r="G69" s="215">
        <f>AT13</f>
        <v>7.2556597379766772E-8</v>
      </c>
      <c r="H69" s="216">
        <f t="shared" si="12"/>
        <v>6.6172221934575615E-8</v>
      </c>
      <c r="I69" s="220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</row>
    <row r="70" spans="1:47" ht="14.25" customHeight="1" x14ac:dyDescent="0.3">
      <c r="A70" s="109"/>
      <c r="B70" s="109"/>
      <c r="C70" s="109"/>
      <c r="D70" s="109"/>
      <c r="E70" s="109"/>
      <c r="F70" s="109"/>
      <c r="G70" s="215">
        <f>AT14</f>
        <v>2.6674000990988087E-8</v>
      </c>
      <c r="H70" s="216">
        <f t="shared" si="12"/>
        <v>2.4326911365760455E-8</v>
      </c>
      <c r="I70" s="220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</row>
    <row r="71" spans="1:47" ht="14.25" customHeight="1" x14ac:dyDescent="0.3">
      <c r="A71" s="109"/>
      <c r="B71" s="109"/>
      <c r="C71" s="109"/>
      <c r="D71" s="109"/>
      <c r="E71" s="109"/>
      <c r="F71" s="109"/>
      <c r="G71" s="218">
        <f>SUM(G32:G70)</f>
        <v>1.0964812010015832</v>
      </c>
      <c r="H71" s="219">
        <f>SUM(H32:H70)</f>
        <v>0.99999999999999956</v>
      </c>
      <c r="I71" s="110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</row>
    <row r="72" spans="1:47" ht="14.25" customHeight="1" x14ac:dyDescent="0.3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</row>
    <row r="73" spans="1:47" ht="14.25" customHeight="1" x14ac:dyDescent="0.3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</row>
    <row r="74" spans="1:47" ht="14.25" customHeight="1" x14ac:dyDescent="0.3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</row>
    <row r="75" spans="1:47" ht="14.25" customHeight="1" x14ac:dyDescent="0.3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</row>
    <row r="76" spans="1:47" ht="14.25" customHeight="1" x14ac:dyDescent="0.3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</row>
    <row r="77" spans="1:47" ht="14.25" customHeight="1" x14ac:dyDescent="0.3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</row>
    <row r="78" spans="1:47" ht="14.25" customHeight="1" x14ac:dyDescent="0.3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</row>
    <row r="79" spans="1:47" ht="14.25" customHeight="1" x14ac:dyDescent="0.3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</row>
    <row r="80" spans="1:47" ht="14.25" customHeight="1" x14ac:dyDescent="0.3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</row>
    <row r="81" spans="1:47" ht="14.25" customHeight="1" x14ac:dyDescent="0.3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</row>
    <row r="82" spans="1:47" ht="14.25" customHeight="1" x14ac:dyDescent="0.3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</row>
    <row r="83" spans="1:47" ht="14.25" customHeight="1" x14ac:dyDescent="0.3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</row>
    <row r="84" spans="1:47" ht="14.25" customHeight="1" x14ac:dyDescent="0.3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</row>
    <row r="85" spans="1:47" ht="14.25" customHeight="1" x14ac:dyDescent="0.3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</row>
    <row r="86" spans="1:47" ht="14.25" customHeight="1" x14ac:dyDescent="0.3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</row>
    <row r="87" spans="1:47" ht="14.25" customHeight="1" x14ac:dyDescent="0.3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</row>
    <row r="88" spans="1:47" ht="14.25" customHeight="1" x14ac:dyDescent="0.3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</row>
    <row r="89" spans="1:47" ht="14.25" customHeight="1" x14ac:dyDescent="0.3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</row>
    <row r="90" spans="1:47" ht="14.25" customHeight="1" x14ac:dyDescent="0.3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</row>
    <row r="91" spans="1:47" ht="14.25" customHeight="1" x14ac:dyDescent="0.3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</row>
    <row r="92" spans="1:47" ht="14.25" customHeight="1" x14ac:dyDescent="0.3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</row>
    <row r="93" spans="1:47" ht="14.25" customHeight="1" x14ac:dyDescent="0.3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</row>
    <row r="94" spans="1:47" ht="14.25" customHeight="1" x14ac:dyDescent="0.3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</row>
    <row r="95" spans="1:47" ht="14.25" customHeight="1" x14ac:dyDescent="0.3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</row>
    <row r="96" spans="1:47" ht="14.25" customHeight="1" x14ac:dyDescent="0.3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</row>
    <row r="97" spans="1:47" ht="14.25" customHeight="1" x14ac:dyDescent="0.3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</row>
    <row r="98" spans="1:47" ht="14.25" customHeight="1" x14ac:dyDescent="0.3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</row>
    <row r="99" spans="1:47" ht="14.25" customHeight="1" x14ac:dyDescent="0.3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</row>
    <row r="100" spans="1:47" ht="14.25" customHeight="1" x14ac:dyDescent="0.3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</row>
    <row r="101" spans="1:47" ht="14.25" customHeight="1" x14ac:dyDescent="0.3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</row>
    <row r="102" spans="1:47" ht="14.25" customHeight="1" x14ac:dyDescent="0.3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</row>
    <row r="103" spans="1:47" ht="14.25" customHeight="1" x14ac:dyDescent="0.3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</row>
    <row r="104" spans="1:47" ht="14.25" customHeight="1" x14ac:dyDescent="0.3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</row>
    <row r="105" spans="1:47" ht="14.25" customHeight="1" x14ac:dyDescent="0.3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</row>
    <row r="106" spans="1:47" ht="14.25" customHeight="1" x14ac:dyDescent="0.3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</row>
    <row r="107" spans="1:47" ht="14.25" customHeight="1" x14ac:dyDescent="0.3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</row>
    <row r="108" spans="1:47" ht="14.25" customHeight="1" x14ac:dyDescent="0.3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</row>
    <row r="109" spans="1:47" ht="14.25" customHeight="1" x14ac:dyDescent="0.3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</row>
    <row r="110" spans="1:47" ht="14.25" customHeight="1" x14ac:dyDescent="0.3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</row>
    <row r="111" spans="1:47" ht="14.25" customHeight="1" x14ac:dyDescent="0.3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</row>
    <row r="112" spans="1:47" ht="14.25" customHeight="1" x14ac:dyDescent="0.3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</row>
    <row r="113" spans="1:47" ht="14.25" customHeight="1" x14ac:dyDescent="0.3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</row>
    <row r="114" spans="1:47" ht="14.25" customHeight="1" x14ac:dyDescent="0.3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</row>
    <row r="115" spans="1:47" ht="14.25" customHeight="1" x14ac:dyDescent="0.3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</row>
    <row r="116" spans="1:47" ht="14.25" customHeight="1" x14ac:dyDescent="0.3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</row>
    <row r="117" spans="1:47" ht="14.25" customHeight="1" x14ac:dyDescent="0.3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</row>
    <row r="118" spans="1:47" ht="14.25" customHeight="1" x14ac:dyDescent="0.3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</row>
    <row r="119" spans="1:47" ht="14.25" customHeight="1" x14ac:dyDescent="0.3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</row>
    <row r="120" spans="1:47" ht="14.25" customHeight="1" x14ac:dyDescent="0.3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</row>
    <row r="121" spans="1:47" ht="14.25" customHeight="1" x14ac:dyDescent="0.3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</row>
    <row r="122" spans="1:47" ht="14.25" customHeight="1" x14ac:dyDescent="0.3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</row>
    <row r="123" spans="1:47" ht="14.25" customHeight="1" x14ac:dyDescent="0.3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</row>
    <row r="124" spans="1:47" ht="14.25" customHeight="1" x14ac:dyDescent="0.3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</row>
    <row r="125" spans="1:47" ht="14.25" customHeight="1" x14ac:dyDescent="0.3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</row>
    <row r="126" spans="1:47" ht="14.25" customHeight="1" x14ac:dyDescent="0.3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</row>
    <row r="127" spans="1:47" ht="14.25" customHeight="1" x14ac:dyDescent="0.3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</row>
    <row r="128" spans="1:47" ht="14.25" customHeight="1" x14ac:dyDescent="0.3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</row>
    <row r="129" spans="1:47" ht="14.25" customHeight="1" x14ac:dyDescent="0.3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</row>
    <row r="130" spans="1:47" ht="14.25" customHeight="1" x14ac:dyDescent="0.3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</row>
    <row r="131" spans="1:47" ht="14.25" customHeight="1" x14ac:dyDescent="0.3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</row>
    <row r="132" spans="1:47" ht="14.25" customHeight="1" x14ac:dyDescent="0.3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</row>
    <row r="133" spans="1:47" ht="14.25" customHeight="1" x14ac:dyDescent="0.3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</row>
    <row r="134" spans="1:47" ht="14.25" customHeight="1" x14ac:dyDescent="0.3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</row>
    <row r="135" spans="1:47" ht="14.25" customHeight="1" x14ac:dyDescent="0.3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</row>
    <row r="136" spans="1:47" ht="14.25" customHeight="1" x14ac:dyDescent="0.3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</row>
    <row r="137" spans="1:47" ht="14.25" customHeight="1" x14ac:dyDescent="0.3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</row>
    <row r="138" spans="1:47" ht="14.25" customHeight="1" x14ac:dyDescent="0.3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</row>
    <row r="139" spans="1:47" ht="14.25" customHeight="1" x14ac:dyDescent="0.3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</row>
    <row r="140" spans="1:47" ht="14.25" customHeight="1" x14ac:dyDescent="0.3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</row>
    <row r="141" spans="1:47" ht="14.25" customHeight="1" x14ac:dyDescent="0.3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</row>
    <row r="142" spans="1:47" ht="14.25" customHeight="1" x14ac:dyDescent="0.3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</row>
    <row r="143" spans="1:47" ht="14.25" customHeight="1" x14ac:dyDescent="0.3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</row>
    <row r="144" spans="1:47" ht="14.25" customHeight="1" x14ac:dyDescent="0.3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</row>
    <row r="145" spans="1:47" ht="14.25" customHeight="1" x14ac:dyDescent="0.3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</row>
    <row r="146" spans="1:47" ht="14.25" customHeight="1" x14ac:dyDescent="0.3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</row>
    <row r="147" spans="1:47" ht="14.25" customHeight="1" x14ac:dyDescent="0.3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</row>
    <row r="148" spans="1:47" ht="14.25" customHeight="1" x14ac:dyDescent="0.3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</row>
    <row r="149" spans="1:47" ht="14.25" customHeight="1" x14ac:dyDescent="0.3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</row>
    <row r="150" spans="1:47" ht="14.25" customHeight="1" x14ac:dyDescent="0.3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</row>
    <row r="151" spans="1:47" ht="14.25" customHeight="1" x14ac:dyDescent="0.3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</row>
    <row r="152" spans="1:47" ht="14.25" customHeight="1" x14ac:dyDescent="0.3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</row>
    <row r="153" spans="1:47" ht="14.25" customHeight="1" x14ac:dyDescent="0.3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</row>
    <row r="154" spans="1:47" ht="14.25" customHeight="1" x14ac:dyDescent="0.3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</row>
    <row r="155" spans="1:47" ht="14.25" customHeight="1" x14ac:dyDescent="0.3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</row>
    <row r="156" spans="1:47" ht="14.25" customHeight="1" x14ac:dyDescent="0.3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</row>
    <row r="157" spans="1:47" ht="14.25" customHeight="1" x14ac:dyDescent="0.3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</row>
    <row r="158" spans="1:47" ht="14.25" customHeight="1" x14ac:dyDescent="0.3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</row>
    <row r="159" spans="1:47" ht="14.25" customHeight="1" x14ac:dyDescent="0.3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</row>
    <row r="160" spans="1:47" ht="14.25" customHeight="1" x14ac:dyDescent="0.3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</row>
    <row r="161" spans="1:47" ht="14.25" customHeight="1" x14ac:dyDescent="0.3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</row>
    <row r="162" spans="1:47" ht="14.25" customHeight="1" x14ac:dyDescent="0.3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</row>
    <row r="163" spans="1:47" ht="14.25" customHeight="1" x14ac:dyDescent="0.3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</row>
    <row r="164" spans="1:47" ht="14.25" customHeight="1" x14ac:dyDescent="0.3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</row>
    <row r="165" spans="1:47" ht="14.25" customHeight="1" x14ac:dyDescent="0.3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</row>
    <row r="166" spans="1:47" ht="14.25" customHeight="1" x14ac:dyDescent="0.3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</row>
    <row r="167" spans="1:47" ht="14.25" customHeight="1" x14ac:dyDescent="0.3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</row>
    <row r="168" spans="1:47" ht="14.25" customHeight="1" x14ac:dyDescent="0.3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</row>
    <row r="169" spans="1:47" ht="14.25" customHeight="1" x14ac:dyDescent="0.3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</row>
    <row r="170" spans="1:47" ht="14.25" customHeight="1" x14ac:dyDescent="0.3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</row>
    <row r="171" spans="1:47" ht="14.25" customHeight="1" x14ac:dyDescent="0.3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</row>
    <row r="172" spans="1:47" ht="14.25" customHeight="1" x14ac:dyDescent="0.3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</row>
    <row r="173" spans="1:47" ht="14.25" customHeight="1" x14ac:dyDescent="0.3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</row>
    <row r="174" spans="1:47" ht="14.25" customHeight="1" x14ac:dyDescent="0.3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</row>
    <row r="175" spans="1:47" ht="14.25" customHeight="1" x14ac:dyDescent="0.3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</row>
    <row r="176" spans="1:47" ht="14.25" customHeight="1" x14ac:dyDescent="0.3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</row>
    <row r="177" spans="1:47" ht="14.25" customHeight="1" x14ac:dyDescent="0.3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</row>
    <row r="178" spans="1:47" ht="14.25" customHeight="1" x14ac:dyDescent="0.3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</row>
    <row r="179" spans="1:47" ht="14.25" customHeight="1" x14ac:dyDescent="0.3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</row>
    <row r="180" spans="1:47" ht="14.25" customHeight="1" x14ac:dyDescent="0.3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</row>
    <row r="181" spans="1:47" ht="14.25" customHeight="1" x14ac:dyDescent="0.3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</row>
    <row r="182" spans="1:47" ht="14.25" customHeight="1" x14ac:dyDescent="0.3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</row>
    <row r="183" spans="1:47" ht="14.25" customHeight="1" x14ac:dyDescent="0.3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</row>
    <row r="184" spans="1:47" ht="14.25" customHeight="1" x14ac:dyDescent="0.3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</row>
    <row r="185" spans="1:47" ht="14.25" customHeight="1" x14ac:dyDescent="0.3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</row>
    <row r="186" spans="1:47" ht="14.25" customHeight="1" x14ac:dyDescent="0.3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</row>
    <row r="187" spans="1:47" ht="14.25" customHeight="1" x14ac:dyDescent="0.3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</row>
    <row r="188" spans="1:47" ht="14.25" customHeight="1" x14ac:dyDescent="0.3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</row>
    <row r="189" spans="1:47" ht="14.25" customHeight="1" x14ac:dyDescent="0.3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</row>
    <row r="190" spans="1:47" ht="14.25" customHeight="1" x14ac:dyDescent="0.3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</row>
    <row r="191" spans="1:47" ht="14.25" customHeight="1" x14ac:dyDescent="0.3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</row>
    <row r="192" spans="1:47" ht="14.25" customHeight="1" x14ac:dyDescent="0.3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</row>
    <row r="193" spans="1:47" ht="14.25" customHeight="1" x14ac:dyDescent="0.3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</row>
    <row r="194" spans="1:47" ht="14.25" customHeight="1" x14ac:dyDescent="0.3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</row>
    <row r="195" spans="1:47" ht="14.25" customHeight="1" x14ac:dyDescent="0.3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</row>
    <row r="196" spans="1:47" ht="14.25" customHeight="1" x14ac:dyDescent="0.3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</row>
    <row r="197" spans="1:47" ht="14.25" customHeight="1" x14ac:dyDescent="0.3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</row>
    <row r="198" spans="1:47" ht="14.25" customHeight="1" x14ac:dyDescent="0.3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</row>
    <row r="199" spans="1:47" ht="14.25" customHeight="1" x14ac:dyDescent="0.3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</row>
    <row r="200" spans="1:47" ht="14.25" customHeight="1" x14ac:dyDescent="0.3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</row>
    <row r="201" spans="1:47" ht="14.25" customHeight="1" x14ac:dyDescent="0.3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</row>
    <row r="202" spans="1:47" ht="14.25" customHeight="1" x14ac:dyDescent="0.3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</row>
    <row r="203" spans="1:47" ht="14.25" customHeight="1" x14ac:dyDescent="0.3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</row>
    <row r="204" spans="1:47" ht="14.25" customHeight="1" x14ac:dyDescent="0.3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</row>
    <row r="205" spans="1:47" ht="14.25" customHeight="1" x14ac:dyDescent="0.3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</row>
    <row r="206" spans="1:47" ht="14.25" customHeight="1" x14ac:dyDescent="0.3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</row>
    <row r="207" spans="1:47" ht="14.25" customHeight="1" x14ac:dyDescent="0.3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</row>
    <row r="208" spans="1:47" ht="14.25" customHeight="1" x14ac:dyDescent="0.3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</row>
    <row r="209" spans="1:47" ht="14.25" customHeight="1" x14ac:dyDescent="0.3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</row>
    <row r="210" spans="1:47" ht="14.25" customHeight="1" x14ac:dyDescent="0.3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</row>
    <row r="211" spans="1:47" ht="14.25" customHeight="1" x14ac:dyDescent="0.3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</row>
    <row r="212" spans="1:47" ht="14.25" customHeight="1" x14ac:dyDescent="0.3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</row>
    <row r="213" spans="1:47" ht="14.25" customHeight="1" x14ac:dyDescent="0.3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</row>
    <row r="214" spans="1:47" ht="14.25" customHeight="1" x14ac:dyDescent="0.3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</row>
    <row r="215" spans="1:47" ht="14.25" customHeight="1" x14ac:dyDescent="0.3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</row>
    <row r="216" spans="1:47" ht="14.25" customHeight="1" x14ac:dyDescent="0.3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</row>
    <row r="217" spans="1:47" ht="14.25" customHeight="1" x14ac:dyDescent="0.3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</row>
    <row r="218" spans="1:47" ht="14.25" customHeight="1" x14ac:dyDescent="0.3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</row>
    <row r="219" spans="1:47" ht="14.25" customHeight="1" x14ac:dyDescent="0.3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</row>
    <row r="220" spans="1:47" ht="14.25" customHeight="1" x14ac:dyDescent="0.3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</row>
    <row r="221" spans="1:47" ht="14.25" customHeight="1" x14ac:dyDescent="0.3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</row>
    <row r="222" spans="1:47" ht="14.25" customHeight="1" x14ac:dyDescent="0.3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</row>
    <row r="223" spans="1:47" ht="14.25" customHeight="1" x14ac:dyDescent="0.3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</row>
    <row r="224" spans="1:47" ht="14.25" customHeight="1" x14ac:dyDescent="0.3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</row>
    <row r="225" spans="1:47" ht="14.25" customHeight="1" x14ac:dyDescent="0.3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</row>
    <row r="226" spans="1:47" ht="14.25" customHeight="1" x14ac:dyDescent="0.3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</row>
    <row r="227" spans="1:47" ht="14.25" customHeight="1" x14ac:dyDescent="0.3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</row>
    <row r="228" spans="1:47" ht="14.25" customHeight="1" x14ac:dyDescent="0.3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</row>
    <row r="229" spans="1:47" ht="14.25" customHeight="1" x14ac:dyDescent="0.3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</row>
    <row r="230" spans="1:47" ht="14.25" customHeight="1" x14ac:dyDescent="0.3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</row>
    <row r="231" spans="1:47" ht="14.25" customHeight="1" x14ac:dyDescent="0.3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</row>
    <row r="232" spans="1:47" ht="14.25" customHeight="1" x14ac:dyDescent="0.3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</row>
    <row r="233" spans="1:47" ht="14.25" customHeight="1" x14ac:dyDescent="0.3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</row>
    <row r="234" spans="1:47" ht="14.25" customHeight="1" x14ac:dyDescent="0.3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</row>
    <row r="235" spans="1:47" ht="14.25" customHeight="1" x14ac:dyDescent="0.3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</row>
    <row r="236" spans="1:47" ht="14.25" customHeight="1" x14ac:dyDescent="0.3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</row>
    <row r="237" spans="1:47" ht="14.25" customHeight="1" x14ac:dyDescent="0.3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</row>
    <row r="238" spans="1:47" ht="14.25" customHeight="1" x14ac:dyDescent="0.3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</row>
    <row r="239" spans="1:47" ht="14.25" customHeight="1" x14ac:dyDescent="0.3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</row>
    <row r="240" spans="1:47" ht="14.25" customHeight="1" x14ac:dyDescent="0.3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</row>
    <row r="241" spans="1:47" ht="14.25" customHeight="1" x14ac:dyDescent="0.3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</row>
    <row r="242" spans="1:47" ht="14.25" customHeight="1" x14ac:dyDescent="0.3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</row>
    <row r="243" spans="1:47" ht="14.25" customHeight="1" x14ac:dyDescent="0.3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</row>
    <row r="244" spans="1:47" ht="14.25" customHeight="1" x14ac:dyDescent="0.3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</row>
    <row r="245" spans="1:47" ht="14.25" customHeight="1" x14ac:dyDescent="0.3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</row>
    <row r="246" spans="1:47" ht="14.25" customHeight="1" x14ac:dyDescent="0.3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</row>
    <row r="247" spans="1:47" ht="14.25" customHeight="1" x14ac:dyDescent="0.3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</row>
    <row r="248" spans="1:47" ht="14.25" customHeight="1" x14ac:dyDescent="0.3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</row>
    <row r="249" spans="1:47" ht="14.25" customHeight="1" x14ac:dyDescent="0.3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</row>
    <row r="250" spans="1:47" ht="14.25" customHeight="1" x14ac:dyDescent="0.3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</row>
    <row r="251" spans="1:47" ht="14.25" customHeight="1" x14ac:dyDescent="0.3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</row>
    <row r="252" spans="1:47" ht="14.25" customHeight="1" x14ac:dyDescent="0.3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</row>
    <row r="253" spans="1:47" ht="14.25" customHeight="1" x14ac:dyDescent="0.3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</row>
    <row r="254" spans="1:47" ht="14.25" customHeight="1" x14ac:dyDescent="0.3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</row>
    <row r="255" spans="1:47" ht="14.25" customHeight="1" x14ac:dyDescent="0.3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</row>
    <row r="256" spans="1:47" ht="14.25" customHeight="1" x14ac:dyDescent="0.3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</row>
    <row r="257" spans="1:47" ht="14.25" customHeight="1" x14ac:dyDescent="0.3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</row>
    <row r="258" spans="1:47" ht="14.25" customHeight="1" x14ac:dyDescent="0.3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</row>
    <row r="259" spans="1:47" ht="14.25" customHeight="1" x14ac:dyDescent="0.3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</row>
    <row r="260" spans="1:47" ht="14.25" customHeight="1" x14ac:dyDescent="0.3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</row>
    <row r="261" spans="1:47" ht="14.25" customHeight="1" x14ac:dyDescent="0.3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</row>
    <row r="262" spans="1:47" ht="14.25" customHeight="1" x14ac:dyDescent="0.3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</row>
    <row r="263" spans="1:47" ht="14.25" customHeight="1" x14ac:dyDescent="0.3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</row>
    <row r="264" spans="1:47" ht="14.25" customHeight="1" x14ac:dyDescent="0.3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</row>
    <row r="265" spans="1:47" ht="14.25" customHeight="1" x14ac:dyDescent="0.3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</row>
    <row r="266" spans="1:47" ht="14.25" customHeight="1" x14ac:dyDescent="0.3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</row>
    <row r="267" spans="1:47" ht="14.25" customHeight="1" x14ac:dyDescent="0.3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</row>
    <row r="268" spans="1:47" ht="14.25" customHeight="1" x14ac:dyDescent="0.3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</row>
    <row r="269" spans="1:47" ht="14.25" customHeight="1" x14ac:dyDescent="0.3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</row>
    <row r="270" spans="1:47" ht="14.25" customHeight="1" x14ac:dyDescent="0.3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</row>
    <row r="271" spans="1:47" ht="14.25" customHeight="1" x14ac:dyDescent="0.3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</row>
    <row r="272" spans="1:47" ht="14.25" customHeight="1" x14ac:dyDescent="0.3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</row>
    <row r="273" spans="1:47" ht="14.25" customHeight="1" x14ac:dyDescent="0.3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</row>
    <row r="274" spans="1:47" ht="14.25" customHeight="1" x14ac:dyDescent="0.3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</row>
    <row r="275" spans="1:47" ht="14.25" customHeight="1" x14ac:dyDescent="0.3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</row>
    <row r="276" spans="1:47" ht="14.25" customHeight="1" x14ac:dyDescent="0.3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</row>
    <row r="277" spans="1:47" ht="14.25" customHeight="1" x14ac:dyDescent="0.3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</row>
    <row r="278" spans="1:47" ht="14.25" customHeight="1" x14ac:dyDescent="0.3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</row>
    <row r="279" spans="1:47" ht="14.25" customHeight="1" x14ac:dyDescent="0.3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</row>
    <row r="280" spans="1:47" ht="14.25" customHeight="1" x14ac:dyDescent="0.3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</row>
    <row r="281" spans="1:47" ht="14.25" customHeight="1" x14ac:dyDescent="0.3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</row>
    <row r="282" spans="1:47" ht="14.25" customHeight="1" x14ac:dyDescent="0.3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</row>
    <row r="283" spans="1:47" ht="14.25" customHeight="1" x14ac:dyDescent="0.3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</row>
    <row r="284" spans="1:47" ht="14.25" customHeight="1" x14ac:dyDescent="0.3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</row>
    <row r="285" spans="1:47" ht="14.25" customHeight="1" x14ac:dyDescent="0.3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</row>
    <row r="286" spans="1:47" ht="14.25" customHeight="1" x14ac:dyDescent="0.3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</row>
    <row r="287" spans="1:47" ht="14.25" customHeight="1" x14ac:dyDescent="0.3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</row>
    <row r="288" spans="1:47" ht="14.25" customHeight="1" x14ac:dyDescent="0.3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</row>
    <row r="289" spans="1:47" ht="14.25" customHeight="1" x14ac:dyDescent="0.3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</row>
    <row r="290" spans="1:47" ht="14.25" customHeight="1" x14ac:dyDescent="0.3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</row>
    <row r="291" spans="1:47" ht="14.25" customHeight="1" x14ac:dyDescent="0.3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</row>
    <row r="292" spans="1:47" ht="14.25" customHeight="1" x14ac:dyDescent="0.3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</row>
    <row r="293" spans="1:47" ht="14.25" customHeight="1" x14ac:dyDescent="0.3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</row>
    <row r="294" spans="1:47" ht="14.25" customHeight="1" x14ac:dyDescent="0.3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</row>
    <row r="295" spans="1:47" ht="14.25" customHeight="1" x14ac:dyDescent="0.3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</row>
    <row r="296" spans="1:47" ht="14.25" customHeight="1" x14ac:dyDescent="0.3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</row>
    <row r="297" spans="1:47" ht="14.25" customHeight="1" x14ac:dyDescent="0.3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</row>
    <row r="298" spans="1:47" ht="14.25" customHeight="1" x14ac:dyDescent="0.3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</row>
    <row r="299" spans="1:47" ht="14.25" customHeight="1" x14ac:dyDescent="0.3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</row>
    <row r="300" spans="1:47" ht="14.25" customHeight="1" x14ac:dyDescent="0.3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</row>
    <row r="301" spans="1:47" ht="14.25" customHeight="1" x14ac:dyDescent="0.3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</row>
    <row r="302" spans="1:47" ht="14.25" customHeight="1" x14ac:dyDescent="0.3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</row>
    <row r="303" spans="1:47" ht="14.25" customHeight="1" x14ac:dyDescent="0.3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</row>
    <row r="304" spans="1:47" ht="14.25" customHeight="1" x14ac:dyDescent="0.3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</row>
    <row r="305" spans="1:47" ht="14.25" customHeight="1" x14ac:dyDescent="0.3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</row>
    <row r="306" spans="1:47" ht="14.25" customHeight="1" x14ac:dyDescent="0.3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</row>
    <row r="307" spans="1:47" ht="14.25" customHeight="1" x14ac:dyDescent="0.3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</row>
    <row r="308" spans="1:47" ht="14.25" customHeight="1" x14ac:dyDescent="0.3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</row>
    <row r="309" spans="1:47" ht="14.25" customHeight="1" x14ac:dyDescent="0.3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</row>
    <row r="310" spans="1:47" ht="14.25" customHeight="1" x14ac:dyDescent="0.3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</row>
    <row r="311" spans="1:47" ht="14.25" customHeight="1" x14ac:dyDescent="0.3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</row>
    <row r="312" spans="1:47" ht="14.25" customHeight="1" x14ac:dyDescent="0.3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</row>
    <row r="313" spans="1:47" ht="14.25" customHeight="1" x14ac:dyDescent="0.3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</row>
    <row r="314" spans="1:47" ht="14.25" customHeight="1" x14ac:dyDescent="0.3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</row>
    <row r="315" spans="1:47" ht="14.25" customHeight="1" x14ac:dyDescent="0.3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</row>
    <row r="316" spans="1:47" ht="14.25" customHeight="1" x14ac:dyDescent="0.3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</row>
    <row r="317" spans="1:47" ht="14.25" customHeight="1" x14ac:dyDescent="0.3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</row>
    <row r="318" spans="1:47" ht="14.25" customHeight="1" x14ac:dyDescent="0.3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</row>
    <row r="319" spans="1:47" ht="14.25" customHeight="1" x14ac:dyDescent="0.3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</row>
    <row r="320" spans="1:47" ht="14.25" customHeight="1" x14ac:dyDescent="0.3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</row>
    <row r="321" spans="1:47" ht="14.25" customHeight="1" x14ac:dyDescent="0.3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</row>
    <row r="322" spans="1:47" ht="14.25" customHeight="1" x14ac:dyDescent="0.3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</row>
    <row r="323" spans="1:47" ht="14.25" customHeight="1" x14ac:dyDescent="0.3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</row>
    <row r="324" spans="1:47" ht="14.25" customHeight="1" x14ac:dyDescent="0.3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</row>
    <row r="325" spans="1:47" ht="14.25" customHeight="1" x14ac:dyDescent="0.3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</row>
    <row r="326" spans="1:47" ht="14.25" customHeight="1" x14ac:dyDescent="0.3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</row>
    <row r="327" spans="1:47" ht="14.25" customHeight="1" x14ac:dyDescent="0.3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</row>
    <row r="328" spans="1:47" ht="14.25" customHeight="1" x14ac:dyDescent="0.3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</row>
    <row r="329" spans="1:47" ht="14.25" customHeight="1" x14ac:dyDescent="0.3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</row>
    <row r="330" spans="1:47" ht="14.25" customHeight="1" x14ac:dyDescent="0.3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</row>
    <row r="331" spans="1:47" ht="14.25" customHeight="1" x14ac:dyDescent="0.3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</row>
    <row r="332" spans="1:47" ht="14.25" customHeight="1" x14ac:dyDescent="0.3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</row>
    <row r="333" spans="1:47" ht="14.25" customHeight="1" x14ac:dyDescent="0.3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</row>
    <row r="334" spans="1:47" ht="14.25" customHeight="1" x14ac:dyDescent="0.3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</row>
    <row r="335" spans="1:47" ht="14.25" customHeight="1" x14ac:dyDescent="0.3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</row>
    <row r="336" spans="1:47" ht="14.25" customHeight="1" x14ac:dyDescent="0.3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</row>
    <row r="337" spans="1:47" ht="14.25" customHeight="1" x14ac:dyDescent="0.3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</row>
    <row r="338" spans="1:47" ht="14.25" customHeight="1" x14ac:dyDescent="0.3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</row>
    <row r="339" spans="1:47" ht="14.25" customHeight="1" x14ac:dyDescent="0.3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</row>
    <row r="340" spans="1:47" ht="14.25" customHeight="1" x14ac:dyDescent="0.3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</row>
    <row r="341" spans="1:47" ht="14.25" customHeight="1" x14ac:dyDescent="0.3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</row>
    <row r="342" spans="1:47" ht="14.25" customHeight="1" x14ac:dyDescent="0.3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</row>
    <row r="343" spans="1:47" ht="14.25" customHeight="1" x14ac:dyDescent="0.3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</row>
    <row r="344" spans="1:47" ht="14.25" customHeight="1" x14ac:dyDescent="0.3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</row>
    <row r="345" spans="1:47" ht="14.25" customHeight="1" x14ac:dyDescent="0.3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</row>
    <row r="346" spans="1:47" ht="14.25" customHeight="1" x14ac:dyDescent="0.3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</row>
    <row r="347" spans="1:47" ht="14.25" customHeight="1" x14ac:dyDescent="0.3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</row>
    <row r="348" spans="1:47" ht="14.25" customHeight="1" x14ac:dyDescent="0.3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</row>
    <row r="349" spans="1:47" ht="14.25" customHeight="1" x14ac:dyDescent="0.3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</row>
    <row r="350" spans="1:47" ht="14.25" customHeight="1" x14ac:dyDescent="0.3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</row>
    <row r="351" spans="1:47" ht="14.25" customHeight="1" x14ac:dyDescent="0.3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</row>
    <row r="352" spans="1:47" ht="14.25" customHeight="1" x14ac:dyDescent="0.3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</row>
    <row r="353" spans="1:47" ht="14.25" customHeight="1" x14ac:dyDescent="0.3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</row>
    <row r="354" spans="1:47" ht="14.25" customHeight="1" x14ac:dyDescent="0.3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</row>
    <row r="355" spans="1:47" ht="14.25" customHeight="1" x14ac:dyDescent="0.3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</row>
    <row r="356" spans="1:47" ht="14.25" customHeight="1" x14ac:dyDescent="0.3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</row>
    <row r="357" spans="1:47" ht="14.25" customHeight="1" x14ac:dyDescent="0.3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</row>
    <row r="358" spans="1:47" ht="14.25" customHeight="1" x14ac:dyDescent="0.3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</row>
    <row r="359" spans="1:47" ht="14.25" customHeight="1" x14ac:dyDescent="0.3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</row>
    <row r="360" spans="1:47" ht="14.25" customHeight="1" x14ac:dyDescent="0.3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</row>
    <row r="361" spans="1:47" ht="14.25" customHeight="1" x14ac:dyDescent="0.3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</row>
    <row r="362" spans="1:47" ht="14.25" customHeight="1" x14ac:dyDescent="0.3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</row>
    <row r="363" spans="1:47" ht="14.25" customHeight="1" x14ac:dyDescent="0.3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</row>
    <row r="364" spans="1:47" ht="14.25" customHeight="1" x14ac:dyDescent="0.3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</row>
    <row r="365" spans="1:47" ht="14.25" customHeight="1" x14ac:dyDescent="0.3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</row>
    <row r="366" spans="1:47" ht="14.25" customHeight="1" x14ac:dyDescent="0.3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</row>
    <row r="367" spans="1:47" ht="14.25" customHeight="1" x14ac:dyDescent="0.3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</row>
    <row r="368" spans="1:47" ht="14.25" customHeight="1" x14ac:dyDescent="0.3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</row>
    <row r="369" spans="1:47" ht="14.25" customHeight="1" x14ac:dyDescent="0.3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</row>
    <row r="370" spans="1:47" ht="14.25" customHeight="1" x14ac:dyDescent="0.3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</row>
    <row r="371" spans="1:47" ht="14.25" customHeight="1" x14ac:dyDescent="0.3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</row>
    <row r="372" spans="1:47" ht="14.25" customHeight="1" x14ac:dyDescent="0.3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</row>
    <row r="373" spans="1:47" ht="14.25" customHeight="1" x14ac:dyDescent="0.3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</row>
    <row r="374" spans="1:47" ht="14.25" customHeight="1" x14ac:dyDescent="0.3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</row>
    <row r="375" spans="1:47" ht="14.25" customHeight="1" x14ac:dyDescent="0.3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</row>
    <row r="376" spans="1:47" ht="14.25" customHeight="1" x14ac:dyDescent="0.3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</row>
    <row r="377" spans="1:47" ht="14.25" customHeight="1" x14ac:dyDescent="0.3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</row>
    <row r="378" spans="1:47" ht="14.25" customHeight="1" x14ac:dyDescent="0.3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</row>
    <row r="379" spans="1:47" ht="14.25" customHeight="1" x14ac:dyDescent="0.3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</row>
    <row r="380" spans="1:47" ht="14.25" customHeight="1" x14ac:dyDescent="0.3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</row>
    <row r="381" spans="1:47" ht="14.25" customHeight="1" x14ac:dyDescent="0.3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</row>
    <row r="382" spans="1:47" ht="14.25" customHeight="1" x14ac:dyDescent="0.3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</row>
    <row r="383" spans="1:47" ht="14.25" customHeight="1" x14ac:dyDescent="0.3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</row>
    <row r="384" spans="1:47" ht="14.25" customHeight="1" x14ac:dyDescent="0.3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</row>
    <row r="385" spans="1:47" ht="14.25" customHeight="1" x14ac:dyDescent="0.3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</row>
    <row r="386" spans="1:47" ht="14.25" customHeight="1" x14ac:dyDescent="0.3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</row>
    <row r="387" spans="1:47" ht="14.25" customHeight="1" x14ac:dyDescent="0.3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</row>
    <row r="388" spans="1:47" ht="14.25" customHeight="1" x14ac:dyDescent="0.3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</row>
    <row r="389" spans="1:47" ht="14.25" customHeight="1" x14ac:dyDescent="0.3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</row>
    <row r="390" spans="1:47" ht="14.25" customHeight="1" x14ac:dyDescent="0.3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</row>
    <row r="391" spans="1:47" ht="14.25" customHeight="1" x14ac:dyDescent="0.3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</row>
    <row r="392" spans="1:47" ht="14.25" customHeight="1" x14ac:dyDescent="0.3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</row>
    <row r="393" spans="1:47" ht="14.25" customHeight="1" x14ac:dyDescent="0.3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</row>
    <row r="394" spans="1:47" ht="14.25" customHeight="1" x14ac:dyDescent="0.3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</row>
    <row r="395" spans="1:47" ht="14.25" customHeight="1" x14ac:dyDescent="0.3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</row>
    <row r="396" spans="1:47" ht="14.25" customHeight="1" x14ac:dyDescent="0.3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</row>
    <row r="397" spans="1:47" ht="14.25" customHeight="1" x14ac:dyDescent="0.3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</row>
    <row r="398" spans="1:47" ht="14.25" customHeight="1" x14ac:dyDescent="0.3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</row>
    <row r="399" spans="1:47" ht="14.25" customHeight="1" x14ac:dyDescent="0.3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</row>
    <row r="400" spans="1:47" ht="14.25" customHeight="1" x14ac:dyDescent="0.3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</row>
    <row r="401" spans="1:47" ht="14.25" customHeight="1" x14ac:dyDescent="0.3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</row>
    <row r="402" spans="1:47" ht="14.25" customHeight="1" x14ac:dyDescent="0.3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</row>
    <row r="403" spans="1:47" ht="14.25" customHeight="1" x14ac:dyDescent="0.3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</row>
    <row r="404" spans="1:47" ht="14.25" customHeight="1" x14ac:dyDescent="0.3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</row>
    <row r="405" spans="1:47" ht="14.25" customHeight="1" x14ac:dyDescent="0.3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</row>
    <row r="406" spans="1:47" ht="14.25" customHeight="1" x14ac:dyDescent="0.3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</row>
    <row r="407" spans="1:47" ht="14.25" customHeight="1" x14ac:dyDescent="0.3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</row>
    <row r="408" spans="1:47" ht="14.25" customHeight="1" x14ac:dyDescent="0.3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</row>
    <row r="409" spans="1:47" ht="14.25" customHeight="1" x14ac:dyDescent="0.3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</row>
    <row r="410" spans="1:47" ht="14.25" customHeight="1" x14ac:dyDescent="0.3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</row>
    <row r="411" spans="1:47" ht="14.25" customHeight="1" x14ac:dyDescent="0.3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</row>
    <row r="412" spans="1:47" ht="14.25" customHeight="1" x14ac:dyDescent="0.3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</row>
    <row r="413" spans="1:47" ht="14.25" customHeight="1" x14ac:dyDescent="0.3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</row>
    <row r="414" spans="1:47" ht="14.25" customHeight="1" x14ac:dyDescent="0.3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</row>
    <row r="415" spans="1:47" ht="14.25" customHeight="1" x14ac:dyDescent="0.3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</row>
    <row r="416" spans="1:47" ht="14.25" customHeight="1" x14ac:dyDescent="0.3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</row>
    <row r="417" spans="1:47" ht="14.25" customHeight="1" x14ac:dyDescent="0.3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</row>
    <row r="418" spans="1:47" ht="14.25" customHeight="1" x14ac:dyDescent="0.3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</row>
    <row r="419" spans="1:47" ht="14.25" customHeight="1" x14ac:dyDescent="0.3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</row>
    <row r="420" spans="1:47" ht="14.25" customHeight="1" x14ac:dyDescent="0.3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</row>
    <row r="421" spans="1:47" ht="14.25" customHeight="1" x14ac:dyDescent="0.3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</row>
    <row r="422" spans="1:47" ht="14.25" customHeight="1" x14ac:dyDescent="0.3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</row>
    <row r="423" spans="1:47" ht="14.25" customHeight="1" x14ac:dyDescent="0.3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</row>
    <row r="424" spans="1:47" ht="14.25" customHeight="1" x14ac:dyDescent="0.3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</row>
    <row r="425" spans="1:47" ht="14.25" customHeight="1" x14ac:dyDescent="0.3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</row>
    <row r="426" spans="1:47" ht="14.25" customHeight="1" x14ac:dyDescent="0.3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</row>
    <row r="427" spans="1:47" ht="14.25" customHeight="1" x14ac:dyDescent="0.3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</row>
    <row r="428" spans="1:47" ht="14.25" customHeight="1" x14ac:dyDescent="0.3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</row>
    <row r="429" spans="1:47" ht="14.25" customHeight="1" x14ac:dyDescent="0.3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</row>
    <row r="430" spans="1:47" ht="14.25" customHeight="1" x14ac:dyDescent="0.3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</row>
    <row r="431" spans="1:47" ht="14.25" customHeight="1" x14ac:dyDescent="0.3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</row>
    <row r="432" spans="1:47" ht="14.25" customHeight="1" x14ac:dyDescent="0.3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</row>
    <row r="433" spans="1:47" ht="14.25" customHeight="1" x14ac:dyDescent="0.3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</row>
    <row r="434" spans="1:47" ht="14.25" customHeight="1" x14ac:dyDescent="0.3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</row>
    <row r="435" spans="1:47" ht="14.25" customHeight="1" x14ac:dyDescent="0.3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</row>
    <row r="436" spans="1:47" ht="14.25" customHeight="1" x14ac:dyDescent="0.3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</row>
    <row r="437" spans="1:47" ht="14.25" customHeight="1" x14ac:dyDescent="0.3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</row>
    <row r="438" spans="1:47" ht="14.25" customHeight="1" x14ac:dyDescent="0.3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</row>
    <row r="439" spans="1:47" ht="14.25" customHeight="1" x14ac:dyDescent="0.3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</row>
    <row r="440" spans="1:47" ht="14.25" customHeight="1" x14ac:dyDescent="0.3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</row>
    <row r="441" spans="1:47" ht="14.25" customHeight="1" x14ac:dyDescent="0.3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</row>
    <row r="442" spans="1:47" ht="14.25" customHeight="1" x14ac:dyDescent="0.3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</row>
    <row r="443" spans="1:47" ht="14.25" customHeight="1" x14ac:dyDescent="0.3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</row>
    <row r="444" spans="1:47" ht="14.25" customHeight="1" x14ac:dyDescent="0.3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</row>
    <row r="445" spans="1:47" ht="14.25" customHeight="1" x14ac:dyDescent="0.3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</row>
    <row r="446" spans="1:47" ht="14.25" customHeight="1" x14ac:dyDescent="0.3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</row>
    <row r="447" spans="1:47" ht="14.25" customHeight="1" x14ac:dyDescent="0.3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</row>
    <row r="448" spans="1:47" ht="14.25" customHeight="1" x14ac:dyDescent="0.3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</row>
    <row r="449" spans="1:47" ht="14.25" customHeight="1" x14ac:dyDescent="0.3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</row>
    <row r="450" spans="1:47" ht="14.25" customHeight="1" x14ac:dyDescent="0.3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</row>
    <row r="451" spans="1:47" ht="14.25" customHeight="1" x14ac:dyDescent="0.3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</row>
    <row r="452" spans="1:47" ht="14.25" customHeight="1" x14ac:dyDescent="0.3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</row>
    <row r="453" spans="1:47" ht="14.25" customHeight="1" x14ac:dyDescent="0.3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</row>
    <row r="454" spans="1:47" ht="14.25" customHeight="1" x14ac:dyDescent="0.3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</row>
    <row r="455" spans="1:47" ht="14.25" customHeight="1" x14ac:dyDescent="0.3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</row>
    <row r="456" spans="1:47" ht="14.25" customHeight="1" x14ac:dyDescent="0.3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</row>
    <row r="457" spans="1:47" ht="14.25" customHeight="1" x14ac:dyDescent="0.3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</row>
    <row r="458" spans="1:47" ht="14.25" customHeight="1" x14ac:dyDescent="0.3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</row>
    <row r="459" spans="1:47" ht="14.25" customHeight="1" x14ac:dyDescent="0.3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</row>
    <row r="460" spans="1:47" ht="14.25" customHeight="1" x14ac:dyDescent="0.3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</row>
    <row r="461" spans="1:47" ht="14.25" customHeight="1" x14ac:dyDescent="0.3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</row>
    <row r="462" spans="1:47" ht="14.25" customHeight="1" x14ac:dyDescent="0.3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</row>
    <row r="463" spans="1:47" ht="14.25" customHeight="1" x14ac:dyDescent="0.3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</row>
    <row r="464" spans="1:47" ht="14.25" customHeight="1" x14ac:dyDescent="0.3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</row>
    <row r="465" spans="1:47" ht="14.25" customHeight="1" x14ac:dyDescent="0.3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</row>
    <row r="466" spans="1:47" ht="14.25" customHeight="1" x14ac:dyDescent="0.3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</row>
    <row r="467" spans="1:47" ht="14.25" customHeight="1" x14ac:dyDescent="0.3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</row>
    <row r="468" spans="1:47" ht="14.25" customHeight="1" x14ac:dyDescent="0.3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</row>
    <row r="469" spans="1:47" ht="14.25" customHeight="1" x14ac:dyDescent="0.3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</row>
    <row r="470" spans="1:47" ht="14.25" customHeight="1" x14ac:dyDescent="0.3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</row>
    <row r="471" spans="1:47" ht="14.25" customHeight="1" x14ac:dyDescent="0.3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</row>
    <row r="472" spans="1:47" ht="14.25" customHeight="1" x14ac:dyDescent="0.3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</row>
    <row r="473" spans="1:47" ht="14.25" customHeight="1" x14ac:dyDescent="0.3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</row>
    <row r="474" spans="1:47" ht="14.25" customHeight="1" x14ac:dyDescent="0.3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</row>
    <row r="475" spans="1:47" ht="14.25" customHeight="1" x14ac:dyDescent="0.3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</row>
    <row r="476" spans="1:47" ht="14.25" customHeight="1" x14ac:dyDescent="0.3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</row>
    <row r="477" spans="1:47" ht="14.25" customHeight="1" x14ac:dyDescent="0.3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</row>
    <row r="478" spans="1:47" ht="14.25" customHeight="1" x14ac:dyDescent="0.3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</row>
    <row r="479" spans="1:47" ht="14.25" customHeight="1" x14ac:dyDescent="0.3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</row>
    <row r="480" spans="1:47" ht="14.25" customHeight="1" x14ac:dyDescent="0.3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</row>
    <row r="481" spans="1:47" ht="14.25" customHeight="1" x14ac:dyDescent="0.3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</row>
    <row r="482" spans="1:47" ht="14.25" customHeight="1" x14ac:dyDescent="0.3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</row>
    <row r="483" spans="1:47" ht="14.25" customHeight="1" x14ac:dyDescent="0.3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</row>
    <row r="484" spans="1:47" ht="14.25" customHeight="1" x14ac:dyDescent="0.3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</row>
    <row r="485" spans="1:47" ht="14.25" customHeight="1" x14ac:dyDescent="0.3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</row>
    <row r="486" spans="1:47" ht="14.25" customHeight="1" x14ac:dyDescent="0.3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</row>
    <row r="487" spans="1:47" ht="14.25" customHeight="1" x14ac:dyDescent="0.3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</row>
    <row r="488" spans="1:47" ht="14.25" customHeight="1" x14ac:dyDescent="0.3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</row>
    <row r="489" spans="1:47" ht="14.25" customHeight="1" x14ac:dyDescent="0.3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</row>
    <row r="490" spans="1:47" ht="14.25" customHeight="1" x14ac:dyDescent="0.3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</row>
    <row r="491" spans="1:47" ht="14.25" customHeight="1" x14ac:dyDescent="0.3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</row>
    <row r="492" spans="1:47" ht="14.25" customHeight="1" x14ac:dyDescent="0.3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</row>
    <row r="493" spans="1:47" ht="14.25" customHeight="1" x14ac:dyDescent="0.3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</row>
    <row r="494" spans="1:47" ht="14.25" customHeight="1" x14ac:dyDescent="0.3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</row>
    <row r="495" spans="1:47" ht="14.25" customHeight="1" x14ac:dyDescent="0.3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</row>
    <row r="496" spans="1:47" ht="14.25" customHeight="1" x14ac:dyDescent="0.3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</row>
    <row r="497" spans="1:47" ht="14.25" customHeight="1" x14ac:dyDescent="0.3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</row>
    <row r="498" spans="1:47" ht="14.25" customHeight="1" x14ac:dyDescent="0.3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</row>
    <row r="499" spans="1:47" ht="14.25" customHeight="1" x14ac:dyDescent="0.3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</row>
    <row r="500" spans="1:47" ht="14.25" customHeight="1" x14ac:dyDescent="0.3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</row>
    <row r="501" spans="1:47" ht="14.25" customHeight="1" x14ac:dyDescent="0.3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</row>
    <row r="502" spans="1:47" ht="14.25" customHeight="1" x14ac:dyDescent="0.3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</row>
    <row r="503" spans="1:47" ht="14.25" customHeight="1" x14ac:dyDescent="0.3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</row>
    <row r="504" spans="1:47" ht="14.25" customHeight="1" x14ac:dyDescent="0.3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</row>
    <row r="505" spans="1:47" ht="14.25" customHeight="1" x14ac:dyDescent="0.3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</row>
    <row r="506" spans="1:47" ht="14.25" customHeight="1" x14ac:dyDescent="0.3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</row>
    <row r="507" spans="1:47" ht="14.25" customHeight="1" x14ac:dyDescent="0.3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</row>
    <row r="508" spans="1:47" ht="14.25" customHeight="1" x14ac:dyDescent="0.3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</row>
    <row r="509" spans="1:47" ht="14.25" customHeight="1" x14ac:dyDescent="0.3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</row>
    <row r="510" spans="1:47" ht="14.25" customHeight="1" x14ac:dyDescent="0.3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</row>
    <row r="511" spans="1:47" ht="14.25" customHeight="1" x14ac:dyDescent="0.3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</row>
    <row r="512" spans="1:47" ht="14.25" customHeight="1" x14ac:dyDescent="0.3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</row>
    <row r="513" spans="1:47" ht="14.25" customHeight="1" x14ac:dyDescent="0.3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</row>
    <row r="514" spans="1:47" ht="14.25" customHeight="1" x14ac:dyDescent="0.3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</row>
    <row r="515" spans="1:47" ht="14.25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</row>
    <row r="516" spans="1:47" ht="14.25" customHeight="1" x14ac:dyDescent="0.3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</row>
    <row r="517" spans="1:47" ht="14.25" customHeight="1" x14ac:dyDescent="0.3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</row>
    <row r="518" spans="1:47" ht="14.25" customHeight="1" x14ac:dyDescent="0.3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</row>
    <row r="519" spans="1:47" ht="14.25" customHeight="1" x14ac:dyDescent="0.3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</row>
    <row r="520" spans="1:47" ht="14.25" customHeight="1" x14ac:dyDescent="0.3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</row>
    <row r="521" spans="1:47" ht="14.25" customHeight="1" x14ac:dyDescent="0.3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</row>
    <row r="522" spans="1:47" ht="14.25" customHeight="1" x14ac:dyDescent="0.3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</row>
    <row r="523" spans="1:47" ht="14.25" customHeight="1" x14ac:dyDescent="0.3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</row>
    <row r="524" spans="1:47" ht="14.25" customHeight="1" x14ac:dyDescent="0.3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</row>
    <row r="525" spans="1:47" ht="14.25" customHeight="1" x14ac:dyDescent="0.3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</row>
    <row r="526" spans="1:47" ht="14.25" customHeight="1" x14ac:dyDescent="0.3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</row>
    <row r="527" spans="1:47" ht="14.25" customHeight="1" x14ac:dyDescent="0.3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</row>
    <row r="528" spans="1:47" ht="14.25" customHeight="1" x14ac:dyDescent="0.3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</row>
    <row r="529" spans="1:47" ht="14.25" customHeight="1" x14ac:dyDescent="0.3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</row>
    <row r="530" spans="1:47" ht="14.25" customHeight="1" x14ac:dyDescent="0.3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</row>
    <row r="531" spans="1:47" ht="14.25" customHeight="1" x14ac:dyDescent="0.3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</row>
    <row r="532" spans="1:47" ht="14.25" customHeight="1" x14ac:dyDescent="0.3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</row>
    <row r="533" spans="1:47" ht="14.25" customHeight="1" x14ac:dyDescent="0.3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</row>
    <row r="534" spans="1:47" ht="14.25" customHeight="1" x14ac:dyDescent="0.3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</row>
    <row r="535" spans="1:47" ht="14.25" customHeight="1" x14ac:dyDescent="0.3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</row>
    <row r="536" spans="1:47" ht="14.25" customHeight="1" x14ac:dyDescent="0.3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</row>
    <row r="537" spans="1:47" ht="14.25" customHeight="1" x14ac:dyDescent="0.3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</row>
    <row r="538" spans="1:47" ht="14.25" customHeight="1" x14ac:dyDescent="0.3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</row>
    <row r="539" spans="1:47" ht="14.25" customHeight="1" x14ac:dyDescent="0.3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</row>
    <row r="540" spans="1:47" ht="14.25" customHeight="1" x14ac:dyDescent="0.3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</row>
    <row r="541" spans="1:47" ht="14.25" customHeight="1" x14ac:dyDescent="0.3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</row>
    <row r="542" spans="1:47" ht="14.25" customHeight="1" x14ac:dyDescent="0.3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</row>
    <row r="543" spans="1:47" ht="14.25" customHeight="1" x14ac:dyDescent="0.3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</row>
    <row r="544" spans="1:47" ht="14.25" customHeight="1" x14ac:dyDescent="0.3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</row>
    <row r="545" spans="1:47" ht="14.25" customHeight="1" x14ac:dyDescent="0.3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</row>
    <row r="546" spans="1:47" ht="14.25" customHeight="1" x14ac:dyDescent="0.3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</row>
    <row r="547" spans="1:47" ht="14.25" customHeight="1" x14ac:dyDescent="0.3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</row>
    <row r="548" spans="1:47" ht="14.25" customHeight="1" x14ac:dyDescent="0.3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</row>
    <row r="549" spans="1:47" ht="14.25" customHeight="1" x14ac:dyDescent="0.3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</row>
    <row r="550" spans="1:47" ht="14.25" customHeight="1" x14ac:dyDescent="0.3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</row>
    <row r="551" spans="1:47" ht="14.25" customHeight="1" x14ac:dyDescent="0.3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</row>
    <row r="552" spans="1:47" ht="14.25" customHeight="1" x14ac:dyDescent="0.3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</row>
    <row r="553" spans="1:47" ht="14.25" customHeight="1" x14ac:dyDescent="0.3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</row>
    <row r="554" spans="1:47" ht="14.25" customHeight="1" x14ac:dyDescent="0.3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</row>
    <row r="555" spans="1:47" ht="14.25" customHeight="1" x14ac:dyDescent="0.3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</row>
    <row r="556" spans="1:47" ht="14.25" customHeight="1" x14ac:dyDescent="0.3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</row>
    <row r="557" spans="1:47" ht="14.25" customHeight="1" x14ac:dyDescent="0.3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</row>
    <row r="558" spans="1:47" ht="14.25" customHeight="1" x14ac:dyDescent="0.3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</row>
    <row r="559" spans="1:47" ht="14.25" customHeight="1" x14ac:dyDescent="0.3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</row>
    <row r="560" spans="1:47" ht="14.25" customHeight="1" x14ac:dyDescent="0.3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</row>
    <row r="561" spans="1:47" ht="14.25" customHeight="1" x14ac:dyDescent="0.3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</row>
    <row r="562" spans="1:47" ht="14.25" customHeight="1" x14ac:dyDescent="0.3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</row>
    <row r="563" spans="1:47" ht="14.25" customHeight="1" x14ac:dyDescent="0.3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</row>
    <row r="564" spans="1:47" ht="14.25" customHeight="1" x14ac:dyDescent="0.3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</row>
    <row r="565" spans="1:47" ht="14.25" customHeight="1" x14ac:dyDescent="0.3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</row>
    <row r="566" spans="1:47" ht="14.25" customHeight="1" x14ac:dyDescent="0.3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</row>
    <row r="567" spans="1:47" ht="14.25" customHeight="1" x14ac:dyDescent="0.3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</row>
    <row r="568" spans="1:47" ht="14.25" customHeight="1" x14ac:dyDescent="0.3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</row>
    <row r="569" spans="1:47" ht="14.25" customHeight="1" x14ac:dyDescent="0.3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</row>
    <row r="570" spans="1:47" ht="14.25" customHeight="1" x14ac:dyDescent="0.3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</row>
    <row r="571" spans="1:47" ht="14.25" customHeight="1" x14ac:dyDescent="0.3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</row>
    <row r="572" spans="1:47" ht="14.25" customHeight="1" x14ac:dyDescent="0.3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</row>
    <row r="573" spans="1:47" ht="14.25" customHeight="1" x14ac:dyDescent="0.3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  <c r="AO573" s="109"/>
      <c r="AP573" s="109"/>
      <c r="AQ573" s="109"/>
      <c r="AR573" s="109"/>
      <c r="AS573" s="109"/>
      <c r="AT573" s="109"/>
      <c r="AU573" s="109"/>
    </row>
    <row r="574" spans="1:47" ht="14.25" customHeight="1" x14ac:dyDescent="0.3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Q574" s="109"/>
      <c r="AR574" s="109"/>
      <c r="AS574" s="109"/>
      <c r="AT574" s="109"/>
      <c r="AU574" s="109"/>
    </row>
    <row r="575" spans="1:47" ht="14.25" customHeight="1" x14ac:dyDescent="0.3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  <c r="AO575" s="109"/>
      <c r="AP575" s="109"/>
      <c r="AQ575" s="109"/>
      <c r="AR575" s="109"/>
      <c r="AS575" s="109"/>
      <c r="AT575" s="109"/>
      <c r="AU575" s="109"/>
    </row>
    <row r="576" spans="1:47" ht="14.25" customHeight="1" x14ac:dyDescent="0.3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  <c r="AO576" s="109"/>
      <c r="AP576" s="109"/>
      <c r="AQ576" s="109"/>
      <c r="AR576" s="109"/>
      <c r="AS576" s="109"/>
      <c r="AT576" s="109"/>
      <c r="AU576" s="109"/>
    </row>
    <row r="577" spans="1:47" ht="14.25" customHeight="1" x14ac:dyDescent="0.3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</row>
    <row r="578" spans="1:47" ht="14.25" customHeight="1" x14ac:dyDescent="0.3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09"/>
      <c r="AP578" s="109"/>
      <c r="AQ578" s="109"/>
      <c r="AR578" s="109"/>
      <c r="AS578" s="109"/>
      <c r="AT578" s="109"/>
      <c r="AU578" s="109"/>
    </row>
    <row r="579" spans="1:47" ht="14.25" customHeight="1" x14ac:dyDescent="0.3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09"/>
      <c r="AP579" s="109"/>
      <c r="AQ579" s="109"/>
      <c r="AR579" s="109"/>
      <c r="AS579" s="109"/>
      <c r="AT579" s="109"/>
      <c r="AU579" s="109"/>
    </row>
    <row r="580" spans="1:47" ht="14.25" customHeight="1" x14ac:dyDescent="0.3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  <c r="AO580" s="109"/>
      <c r="AP580" s="109"/>
      <c r="AQ580" s="109"/>
      <c r="AR580" s="109"/>
      <c r="AS580" s="109"/>
      <c r="AT580" s="109"/>
      <c r="AU580" s="109"/>
    </row>
    <row r="581" spans="1:47" ht="14.25" customHeight="1" x14ac:dyDescent="0.3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Q581" s="109"/>
      <c r="AR581" s="109"/>
      <c r="AS581" s="109"/>
      <c r="AT581" s="109"/>
      <c r="AU581" s="109"/>
    </row>
    <row r="582" spans="1:47" ht="14.25" customHeight="1" x14ac:dyDescent="0.3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09"/>
      <c r="AP582" s="109"/>
      <c r="AQ582" s="109"/>
      <c r="AR582" s="109"/>
      <c r="AS582" s="109"/>
      <c r="AT582" s="109"/>
      <c r="AU582" s="109"/>
    </row>
    <row r="583" spans="1:47" ht="14.25" customHeight="1" x14ac:dyDescent="0.3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09"/>
      <c r="AP583" s="109"/>
      <c r="AQ583" s="109"/>
      <c r="AR583" s="109"/>
      <c r="AS583" s="109"/>
      <c r="AT583" s="109"/>
      <c r="AU583" s="109"/>
    </row>
    <row r="584" spans="1:47" ht="14.25" customHeight="1" x14ac:dyDescent="0.3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09"/>
      <c r="AP584" s="109"/>
      <c r="AQ584" s="109"/>
      <c r="AR584" s="109"/>
      <c r="AS584" s="109"/>
      <c r="AT584" s="109"/>
      <c r="AU584" s="109"/>
    </row>
    <row r="585" spans="1:47" ht="14.25" customHeight="1" x14ac:dyDescent="0.3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09"/>
      <c r="AP585" s="109"/>
      <c r="AQ585" s="109"/>
      <c r="AR585" s="109"/>
      <c r="AS585" s="109"/>
      <c r="AT585" s="109"/>
      <c r="AU585" s="109"/>
    </row>
    <row r="586" spans="1:47" ht="14.25" customHeight="1" x14ac:dyDescent="0.3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09"/>
      <c r="AP586" s="109"/>
      <c r="AQ586" s="109"/>
      <c r="AR586" s="109"/>
      <c r="AS586" s="109"/>
      <c r="AT586" s="109"/>
      <c r="AU586" s="109"/>
    </row>
    <row r="587" spans="1:47" ht="14.25" customHeight="1" x14ac:dyDescent="0.3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09"/>
      <c r="AP587" s="109"/>
      <c r="AQ587" s="109"/>
      <c r="AR587" s="109"/>
      <c r="AS587" s="109"/>
      <c r="AT587" s="109"/>
      <c r="AU587" s="109"/>
    </row>
    <row r="588" spans="1:47" ht="14.25" customHeight="1" x14ac:dyDescent="0.3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09"/>
      <c r="AP588" s="109"/>
      <c r="AQ588" s="109"/>
      <c r="AR588" s="109"/>
      <c r="AS588" s="109"/>
      <c r="AT588" s="109"/>
      <c r="AU588" s="109"/>
    </row>
    <row r="589" spans="1:47" ht="14.25" customHeight="1" x14ac:dyDescent="0.3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09"/>
      <c r="AP589" s="109"/>
      <c r="AQ589" s="109"/>
      <c r="AR589" s="109"/>
      <c r="AS589" s="109"/>
      <c r="AT589" s="109"/>
      <c r="AU589" s="109"/>
    </row>
    <row r="590" spans="1:47" ht="14.25" customHeight="1" x14ac:dyDescent="0.3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</row>
    <row r="591" spans="1:47" ht="14.25" customHeight="1" x14ac:dyDescent="0.3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</row>
    <row r="592" spans="1:47" ht="14.25" customHeight="1" x14ac:dyDescent="0.3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  <c r="AO592" s="109"/>
      <c r="AP592" s="109"/>
      <c r="AQ592" s="109"/>
      <c r="AR592" s="109"/>
      <c r="AS592" s="109"/>
      <c r="AT592" s="109"/>
      <c r="AU592" s="109"/>
    </row>
    <row r="593" spans="1:47" ht="14.25" customHeight="1" x14ac:dyDescent="0.3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  <c r="AO593" s="109"/>
      <c r="AP593" s="109"/>
      <c r="AQ593" s="109"/>
      <c r="AR593" s="109"/>
      <c r="AS593" s="109"/>
      <c r="AT593" s="109"/>
      <c r="AU593" s="109"/>
    </row>
    <row r="594" spans="1:47" ht="14.25" customHeight="1" x14ac:dyDescent="0.3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09"/>
      <c r="AP594" s="109"/>
      <c r="AQ594" s="109"/>
      <c r="AR594" s="109"/>
      <c r="AS594" s="109"/>
      <c r="AT594" s="109"/>
      <c r="AU594" s="109"/>
    </row>
    <row r="595" spans="1:47" ht="14.25" customHeight="1" x14ac:dyDescent="0.3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  <c r="AO595" s="109"/>
      <c r="AP595" s="109"/>
      <c r="AQ595" s="109"/>
      <c r="AR595" s="109"/>
      <c r="AS595" s="109"/>
      <c r="AT595" s="109"/>
      <c r="AU595" s="109"/>
    </row>
    <row r="596" spans="1:47" ht="14.25" customHeight="1" x14ac:dyDescent="0.3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  <c r="AO596" s="109"/>
      <c r="AP596" s="109"/>
      <c r="AQ596" s="109"/>
      <c r="AR596" s="109"/>
      <c r="AS596" s="109"/>
      <c r="AT596" s="109"/>
      <c r="AU596" s="109"/>
    </row>
    <row r="597" spans="1:47" ht="14.25" customHeight="1" x14ac:dyDescent="0.3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09"/>
      <c r="AP597" s="109"/>
      <c r="AQ597" s="109"/>
      <c r="AR597" s="109"/>
      <c r="AS597" s="109"/>
      <c r="AT597" s="109"/>
      <c r="AU597" s="109"/>
    </row>
    <row r="598" spans="1:47" ht="14.25" customHeight="1" x14ac:dyDescent="0.3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09"/>
      <c r="AP598" s="109"/>
      <c r="AQ598" s="109"/>
      <c r="AR598" s="109"/>
      <c r="AS598" s="109"/>
      <c r="AT598" s="109"/>
      <c r="AU598" s="109"/>
    </row>
    <row r="599" spans="1:47" ht="14.25" customHeight="1" x14ac:dyDescent="0.3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  <c r="AO599" s="109"/>
      <c r="AP599" s="109"/>
      <c r="AQ599" s="109"/>
      <c r="AR599" s="109"/>
      <c r="AS599" s="109"/>
      <c r="AT599" s="109"/>
      <c r="AU599" s="109"/>
    </row>
    <row r="600" spans="1:47" ht="14.25" customHeight="1" x14ac:dyDescent="0.3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</row>
    <row r="601" spans="1:47" ht="14.25" customHeight="1" x14ac:dyDescent="0.3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</row>
    <row r="602" spans="1:47" ht="14.25" customHeight="1" x14ac:dyDescent="0.3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09"/>
      <c r="AP602" s="109"/>
      <c r="AQ602" s="109"/>
      <c r="AR602" s="109"/>
      <c r="AS602" s="109"/>
      <c r="AT602" s="109"/>
      <c r="AU602" s="109"/>
    </row>
    <row r="603" spans="1:47" ht="14.25" customHeight="1" x14ac:dyDescent="0.3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  <c r="AO603" s="109"/>
      <c r="AP603" s="109"/>
      <c r="AQ603" s="109"/>
      <c r="AR603" s="109"/>
      <c r="AS603" s="109"/>
      <c r="AT603" s="109"/>
      <c r="AU603" s="109"/>
    </row>
    <row r="604" spans="1:47" ht="14.25" customHeight="1" x14ac:dyDescent="0.3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  <c r="AO604" s="109"/>
      <c r="AP604" s="109"/>
      <c r="AQ604" s="109"/>
      <c r="AR604" s="109"/>
      <c r="AS604" s="109"/>
      <c r="AT604" s="109"/>
      <c r="AU604" s="109"/>
    </row>
    <row r="605" spans="1:47" ht="14.25" customHeight="1" x14ac:dyDescent="0.3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  <c r="AO605" s="109"/>
      <c r="AP605" s="109"/>
      <c r="AQ605" s="109"/>
      <c r="AR605" s="109"/>
      <c r="AS605" s="109"/>
      <c r="AT605" s="109"/>
      <c r="AU605" s="109"/>
    </row>
    <row r="606" spans="1:47" ht="14.25" customHeight="1" x14ac:dyDescent="0.3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  <c r="AO606" s="109"/>
      <c r="AP606" s="109"/>
      <c r="AQ606" s="109"/>
      <c r="AR606" s="109"/>
      <c r="AS606" s="109"/>
      <c r="AT606" s="109"/>
      <c r="AU606" s="109"/>
    </row>
    <row r="607" spans="1:47" ht="14.25" customHeight="1" x14ac:dyDescent="0.3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109"/>
      <c r="AP607" s="109"/>
      <c r="AQ607" s="109"/>
      <c r="AR607" s="109"/>
      <c r="AS607" s="109"/>
      <c r="AT607" s="109"/>
      <c r="AU607" s="109"/>
    </row>
    <row r="608" spans="1:47" ht="14.25" customHeight="1" x14ac:dyDescent="0.3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</row>
    <row r="609" spans="1:47" ht="14.25" customHeight="1" x14ac:dyDescent="0.3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  <c r="AO609" s="109"/>
      <c r="AP609" s="109"/>
      <c r="AQ609" s="109"/>
      <c r="AR609" s="109"/>
      <c r="AS609" s="109"/>
      <c r="AT609" s="109"/>
      <c r="AU609" s="109"/>
    </row>
    <row r="610" spans="1:47" ht="14.25" customHeight="1" x14ac:dyDescent="0.3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09"/>
      <c r="AP610" s="109"/>
      <c r="AQ610" s="109"/>
      <c r="AR610" s="109"/>
      <c r="AS610" s="109"/>
      <c r="AT610" s="109"/>
      <c r="AU610" s="109"/>
    </row>
    <row r="611" spans="1:47" ht="14.25" customHeight="1" x14ac:dyDescent="0.3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  <c r="AO611" s="109"/>
      <c r="AP611" s="109"/>
      <c r="AQ611" s="109"/>
      <c r="AR611" s="109"/>
      <c r="AS611" s="109"/>
      <c r="AT611" s="109"/>
      <c r="AU611" s="109"/>
    </row>
    <row r="612" spans="1:47" ht="14.25" customHeight="1" x14ac:dyDescent="0.3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09"/>
      <c r="AP612" s="109"/>
      <c r="AQ612" s="109"/>
      <c r="AR612" s="109"/>
      <c r="AS612" s="109"/>
      <c r="AT612" s="109"/>
      <c r="AU612" s="109"/>
    </row>
    <row r="613" spans="1:47" ht="14.25" customHeight="1" x14ac:dyDescent="0.3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</row>
    <row r="614" spans="1:47" ht="14.25" customHeight="1" x14ac:dyDescent="0.3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09"/>
      <c r="AP614" s="109"/>
      <c r="AQ614" s="109"/>
      <c r="AR614" s="109"/>
      <c r="AS614" s="109"/>
      <c r="AT614" s="109"/>
      <c r="AU614" s="109"/>
    </row>
    <row r="615" spans="1:47" ht="14.25" customHeight="1" x14ac:dyDescent="0.3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  <c r="AO615" s="109"/>
      <c r="AP615" s="109"/>
      <c r="AQ615" s="109"/>
      <c r="AR615" s="109"/>
      <c r="AS615" s="109"/>
      <c r="AT615" s="109"/>
      <c r="AU615" s="109"/>
    </row>
    <row r="616" spans="1:47" ht="14.25" customHeight="1" x14ac:dyDescent="0.3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09"/>
      <c r="AP616" s="109"/>
      <c r="AQ616" s="109"/>
      <c r="AR616" s="109"/>
      <c r="AS616" s="109"/>
      <c r="AT616" s="109"/>
      <c r="AU616" s="109"/>
    </row>
    <row r="617" spans="1:47" ht="14.25" customHeight="1" x14ac:dyDescent="0.3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  <c r="AO617" s="109"/>
      <c r="AP617" s="109"/>
      <c r="AQ617" s="109"/>
      <c r="AR617" s="109"/>
      <c r="AS617" s="109"/>
      <c r="AT617" s="109"/>
      <c r="AU617" s="109"/>
    </row>
    <row r="618" spans="1:47" ht="14.25" customHeight="1" x14ac:dyDescent="0.3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  <c r="AO618" s="109"/>
      <c r="AP618" s="109"/>
      <c r="AQ618" s="109"/>
      <c r="AR618" s="109"/>
      <c r="AS618" s="109"/>
      <c r="AT618" s="109"/>
      <c r="AU618" s="109"/>
    </row>
    <row r="619" spans="1:47" ht="14.25" customHeight="1" x14ac:dyDescent="0.3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  <c r="AO619" s="109"/>
      <c r="AP619" s="109"/>
      <c r="AQ619" s="109"/>
      <c r="AR619" s="109"/>
      <c r="AS619" s="109"/>
      <c r="AT619" s="109"/>
      <c r="AU619" s="109"/>
    </row>
    <row r="620" spans="1:47" ht="14.25" customHeight="1" x14ac:dyDescent="0.3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  <c r="AO620" s="109"/>
      <c r="AP620" s="109"/>
      <c r="AQ620" s="109"/>
      <c r="AR620" s="109"/>
      <c r="AS620" s="109"/>
      <c r="AT620" s="109"/>
      <c r="AU620" s="109"/>
    </row>
    <row r="621" spans="1:47" ht="14.25" customHeight="1" x14ac:dyDescent="0.3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  <c r="AO621" s="109"/>
      <c r="AP621" s="109"/>
      <c r="AQ621" s="109"/>
      <c r="AR621" s="109"/>
      <c r="AS621" s="109"/>
      <c r="AT621" s="109"/>
      <c r="AU621" s="109"/>
    </row>
    <row r="622" spans="1:47" ht="14.25" customHeight="1" x14ac:dyDescent="0.3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</row>
    <row r="623" spans="1:47" ht="14.25" customHeight="1" x14ac:dyDescent="0.3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</row>
    <row r="624" spans="1:47" ht="14.25" customHeight="1" x14ac:dyDescent="0.3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</row>
    <row r="625" spans="1:47" ht="14.25" customHeight="1" x14ac:dyDescent="0.3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</row>
    <row r="626" spans="1:47" ht="14.25" customHeight="1" x14ac:dyDescent="0.3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09"/>
      <c r="AP626" s="109"/>
      <c r="AQ626" s="109"/>
      <c r="AR626" s="109"/>
      <c r="AS626" s="109"/>
      <c r="AT626" s="109"/>
      <c r="AU626" s="109"/>
    </row>
    <row r="627" spans="1:47" ht="14.25" customHeight="1" x14ac:dyDescent="0.3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</row>
    <row r="628" spans="1:47" ht="14.25" customHeight="1" x14ac:dyDescent="0.3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</row>
    <row r="629" spans="1:47" ht="14.25" customHeight="1" x14ac:dyDescent="0.3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09"/>
      <c r="AP629" s="109"/>
      <c r="AQ629" s="109"/>
      <c r="AR629" s="109"/>
      <c r="AS629" s="109"/>
      <c r="AT629" s="109"/>
      <c r="AU629" s="109"/>
    </row>
    <row r="630" spans="1:47" ht="14.25" customHeight="1" x14ac:dyDescent="0.3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  <c r="AO630" s="109"/>
      <c r="AP630" s="109"/>
      <c r="AQ630" s="109"/>
      <c r="AR630" s="109"/>
      <c r="AS630" s="109"/>
      <c r="AT630" s="109"/>
      <c r="AU630" s="109"/>
    </row>
    <row r="631" spans="1:47" ht="14.25" customHeight="1" x14ac:dyDescent="0.3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  <c r="AO631" s="109"/>
      <c r="AP631" s="109"/>
      <c r="AQ631" s="109"/>
      <c r="AR631" s="109"/>
      <c r="AS631" s="109"/>
      <c r="AT631" s="109"/>
      <c r="AU631" s="109"/>
    </row>
    <row r="632" spans="1:47" ht="14.25" customHeight="1" x14ac:dyDescent="0.3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  <c r="AO632" s="109"/>
      <c r="AP632" s="109"/>
      <c r="AQ632" s="109"/>
      <c r="AR632" s="109"/>
      <c r="AS632" s="109"/>
      <c r="AT632" s="109"/>
      <c r="AU632" s="109"/>
    </row>
    <row r="633" spans="1:47" ht="14.25" customHeight="1" x14ac:dyDescent="0.3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  <c r="AO633" s="109"/>
      <c r="AP633" s="109"/>
      <c r="AQ633" s="109"/>
      <c r="AR633" s="109"/>
      <c r="AS633" s="109"/>
      <c r="AT633" s="109"/>
      <c r="AU633" s="109"/>
    </row>
    <row r="634" spans="1:47" ht="14.25" customHeight="1" x14ac:dyDescent="0.3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09"/>
      <c r="AP634" s="109"/>
      <c r="AQ634" s="109"/>
      <c r="AR634" s="109"/>
      <c r="AS634" s="109"/>
      <c r="AT634" s="109"/>
      <c r="AU634" s="109"/>
    </row>
    <row r="635" spans="1:47" ht="14.25" customHeight="1" x14ac:dyDescent="0.3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09"/>
      <c r="AP635" s="109"/>
      <c r="AQ635" s="109"/>
      <c r="AR635" s="109"/>
      <c r="AS635" s="109"/>
      <c r="AT635" s="109"/>
      <c r="AU635" s="109"/>
    </row>
    <row r="636" spans="1:47" ht="14.25" customHeight="1" x14ac:dyDescent="0.3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  <c r="AO636" s="109"/>
      <c r="AP636" s="109"/>
      <c r="AQ636" s="109"/>
      <c r="AR636" s="109"/>
      <c r="AS636" s="109"/>
      <c r="AT636" s="109"/>
      <c r="AU636" s="109"/>
    </row>
    <row r="637" spans="1:47" ht="14.25" customHeight="1" x14ac:dyDescent="0.3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  <c r="AO637" s="109"/>
      <c r="AP637" s="109"/>
      <c r="AQ637" s="109"/>
      <c r="AR637" s="109"/>
      <c r="AS637" s="109"/>
      <c r="AT637" s="109"/>
      <c r="AU637" s="109"/>
    </row>
    <row r="638" spans="1:47" ht="14.25" customHeight="1" x14ac:dyDescent="0.3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  <c r="AO638" s="109"/>
      <c r="AP638" s="109"/>
      <c r="AQ638" s="109"/>
      <c r="AR638" s="109"/>
      <c r="AS638" s="109"/>
      <c r="AT638" s="109"/>
      <c r="AU638" s="109"/>
    </row>
    <row r="639" spans="1:47" ht="14.25" customHeight="1" x14ac:dyDescent="0.3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  <c r="AO639" s="109"/>
      <c r="AP639" s="109"/>
      <c r="AQ639" s="109"/>
      <c r="AR639" s="109"/>
      <c r="AS639" s="109"/>
      <c r="AT639" s="109"/>
      <c r="AU639" s="109"/>
    </row>
    <row r="640" spans="1:47" ht="14.25" customHeight="1" x14ac:dyDescent="0.3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  <c r="AO640" s="109"/>
      <c r="AP640" s="109"/>
      <c r="AQ640" s="109"/>
      <c r="AR640" s="109"/>
      <c r="AS640" s="109"/>
      <c r="AT640" s="109"/>
      <c r="AU640" s="109"/>
    </row>
    <row r="641" spans="1:47" ht="14.25" customHeight="1" x14ac:dyDescent="0.3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/>
      <c r="AM641" s="109"/>
      <c r="AN641" s="109"/>
      <c r="AO641" s="109"/>
      <c r="AP641" s="109"/>
      <c r="AQ641" s="109"/>
      <c r="AR641" s="109"/>
      <c r="AS641" s="109"/>
      <c r="AT641" s="109"/>
      <c r="AU641" s="109"/>
    </row>
    <row r="642" spans="1:47" ht="14.25" customHeight="1" x14ac:dyDescent="0.3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  <c r="AO642" s="109"/>
      <c r="AP642" s="109"/>
      <c r="AQ642" s="109"/>
      <c r="AR642" s="109"/>
      <c r="AS642" s="109"/>
      <c r="AT642" s="109"/>
      <c r="AU642" s="109"/>
    </row>
    <row r="643" spans="1:47" ht="14.25" customHeight="1" x14ac:dyDescent="0.3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  <c r="AO643" s="109"/>
      <c r="AP643" s="109"/>
      <c r="AQ643" s="109"/>
      <c r="AR643" s="109"/>
      <c r="AS643" s="109"/>
      <c r="AT643" s="109"/>
      <c r="AU643" s="109"/>
    </row>
    <row r="644" spans="1:47" ht="14.25" customHeight="1" x14ac:dyDescent="0.3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  <c r="AL644" s="109"/>
      <c r="AM644" s="109"/>
      <c r="AN644" s="109"/>
      <c r="AO644" s="109"/>
      <c r="AP644" s="109"/>
      <c r="AQ644" s="109"/>
      <c r="AR644" s="109"/>
      <c r="AS644" s="109"/>
      <c r="AT644" s="109"/>
      <c r="AU644" s="109"/>
    </row>
    <row r="645" spans="1:47" ht="14.25" customHeight="1" x14ac:dyDescent="0.3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  <c r="AL645" s="109"/>
      <c r="AM645" s="109"/>
      <c r="AN645" s="109"/>
      <c r="AO645" s="109"/>
      <c r="AP645" s="109"/>
      <c r="AQ645" s="109"/>
      <c r="AR645" s="109"/>
      <c r="AS645" s="109"/>
      <c r="AT645" s="109"/>
      <c r="AU645" s="109"/>
    </row>
    <row r="646" spans="1:47" ht="14.25" customHeight="1" x14ac:dyDescent="0.3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  <c r="AO646" s="109"/>
      <c r="AP646" s="109"/>
      <c r="AQ646" s="109"/>
      <c r="AR646" s="109"/>
      <c r="AS646" s="109"/>
      <c r="AT646" s="109"/>
      <c r="AU646" s="109"/>
    </row>
    <row r="647" spans="1:47" ht="14.25" customHeight="1" x14ac:dyDescent="0.3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  <c r="AO647" s="109"/>
      <c r="AP647" s="109"/>
      <c r="AQ647" s="109"/>
      <c r="AR647" s="109"/>
      <c r="AS647" s="109"/>
      <c r="AT647" s="109"/>
      <c r="AU647" s="109"/>
    </row>
    <row r="648" spans="1:47" ht="14.25" customHeight="1" x14ac:dyDescent="0.3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  <c r="AL648" s="109"/>
      <c r="AM648" s="109"/>
      <c r="AN648" s="109"/>
      <c r="AO648" s="109"/>
      <c r="AP648" s="109"/>
      <c r="AQ648" s="109"/>
      <c r="AR648" s="109"/>
      <c r="AS648" s="109"/>
      <c r="AT648" s="109"/>
      <c r="AU648" s="109"/>
    </row>
    <row r="649" spans="1:47" ht="14.25" customHeight="1" x14ac:dyDescent="0.3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/>
      <c r="AM649" s="109"/>
      <c r="AN649" s="109"/>
      <c r="AO649" s="109"/>
      <c r="AP649" s="109"/>
      <c r="AQ649" s="109"/>
      <c r="AR649" s="109"/>
      <c r="AS649" s="109"/>
      <c r="AT649" s="109"/>
      <c r="AU649" s="109"/>
    </row>
    <row r="650" spans="1:47" ht="14.25" customHeight="1" x14ac:dyDescent="0.3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  <c r="AO650" s="109"/>
      <c r="AP650" s="109"/>
      <c r="AQ650" s="109"/>
      <c r="AR650" s="109"/>
      <c r="AS650" s="109"/>
      <c r="AT650" s="109"/>
      <c r="AU650" s="109"/>
    </row>
    <row r="651" spans="1:47" ht="14.25" customHeight="1" x14ac:dyDescent="0.3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  <c r="AO651" s="109"/>
      <c r="AP651" s="109"/>
      <c r="AQ651" s="109"/>
      <c r="AR651" s="109"/>
      <c r="AS651" s="109"/>
      <c r="AT651" s="109"/>
      <c r="AU651" s="109"/>
    </row>
    <row r="652" spans="1:47" ht="14.25" customHeight="1" x14ac:dyDescent="0.3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  <c r="AO652" s="109"/>
      <c r="AP652" s="109"/>
      <c r="AQ652" s="109"/>
      <c r="AR652" s="109"/>
      <c r="AS652" s="109"/>
      <c r="AT652" s="109"/>
      <c r="AU652" s="109"/>
    </row>
    <row r="653" spans="1:47" ht="14.25" customHeight="1" x14ac:dyDescent="0.3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/>
      <c r="AM653" s="109"/>
      <c r="AN653" s="109"/>
      <c r="AO653" s="109"/>
      <c r="AP653" s="109"/>
      <c r="AQ653" s="109"/>
      <c r="AR653" s="109"/>
      <c r="AS653" s="109"/>
      <c r="AT653" s="109"/>
      <c r="AU653" s="109"/>
    </row>
    <row r="654" spans="1:47" ht="14.25" customHeight="1" x14ac:dyDescent="0.3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09"/>
      <c r="AM654" s="109"/>
      <c r="AN654" s="109"/>
      <c r="AO654" s="109"/>
      <c r="AP654" s="109"/>
      <c r="AQ654" s="109"/>
      <c r="AR654" s="109"/>
      <c r="AS654" s="109"/>
      <c r="AT654" s="109"/>
      <c r="AU654" s="109"/>
    </row>
    <row r="655" spans="1:47" ht="14.25" customHeight="1" x14ac:dyDescent="0.3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  <c r="AL655" s="109"/>
      <c r="AM655" s="109"/>
      <c r="AN655" s="109"/>
      <c r="AO655" s="109"/>
      <c r="AP655" s="109"/>
      <c r="AQ655" s="109"/>
      <c r="AR655" s="109"/>
      <c r="AS655" s="109"/>
      <c r="AT655" s="109"/>
      <c r="AU655" s="109"/>
    </row>
    <row r="656" spans="1:47" ht="14.25" customHeight="1" x14ac:dyDescent="0.3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/>
      <c r="AM656" s="109"/>
      <c r="AN656" s="109"/>
      <c r="AO656" s="109"/>
      <c r="AP656" s="109"/>
      <c r="AQ656" s="109"/>
      <c r="AR656" s="109"/>
      <c r="AS656" s="109"/>
      <c r="AT656" s="109"/>
      <c r="AU656" s="109"/>
    </row>
    <row r="657" spans="1:47" ht="14.25" customHeight="1" x14ac:dyDescent="0.3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  <c r="AO657" s="109"/>
      <c r="AP657" s="109"/>
      <c r="AQ657" s="109"/>
      <c r="AR657" s="109"/>
      <c r="AS657" s="109"/>
      <c r="AT657" s="109"/>
      <c r="AU657" s="109"/>
    </row>
    <row r="658" spans="1:47" ht="14.25" customHeight="1" x14ac:dyDescent="0.3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  <c r="AL658" s="109"/>
      <c r="AM658" s="109"/>
      <c r="AN658" s="109"/>
      <c r="AO658" s="109"/>
      <c r="AP658" s="109"/>
      <c r="AQ658" s="109"/>
      <c r="AR658" s="109"/>
      <c r="AS658" s="109"/>
      <c r="AT658" s="109"/>
      <c r="AU658" s="109"/>
    </row>
    <row r="659" spans="1:47" ht="14.25" customHeight="1" x14ac:dyDescent="0.3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  <c r="AO659" s="109"/>
      <c r="AP659" s="109"/>
      <c r="AQ659" s="109"/>
      <c r="AR659" s="109"/>
      <c r="AS659" s="109"/>
      <c r="AT659" s="109"/>
      <c r="AU659" s="109"/>
    </row>
    <row r="660" spans="1:47" ht="14.25" customHeight="1" x14ac:dyDescent="0.3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  <c r="AL660" s="109"/>
      <c r="AM660" s="109"/>
      <c r="AN660" s="109"/>
      <c r="AO660" s="109"/>
      <c r="AP660" s="109"/>
      <c r="AQ660" s="109"/>
      <c r="AR660" s="109"/>
      <c r="AS660" s="109"/>
      <c r="AT660" s="109"/>
      <c r="AU660" s="109"/>
    </row>
    <row r="661" spans="1:47" ht="14.25" customHeight="1" x14ac:dyDescent="0.3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  <c r="AL661" s="109"/>
      <c r="AM661" s="109"/>
      <c r="AN661" s="109"/>
      <c r="AO661" s="109"/>
      <c r="AP661" s="109"/>
      <c r="AQ661" s="109"/>
      <c r="AR661" s="109"/>
      <c r="AS661" s="109"/>
      <c r="AT661" s="109"/>
      <c r="AU661" s="109"/>
    </row>
    <row r="662" spans="1:47" ht="14.25" customHeight="1" x14ac:dyDescent="0.3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  <c r="AO662" s="109"/>
      <c r="AP662" s="109"/>
      <c r="AQ662" s="109"/>
      <c r="AR662" s="109"/>
      <c r="AS662" s="109"/>
      <c r="AT662" s="109"/>
      <c r="AU662" s="109"/>
    </row>
    <row r="663" spans="1:47" ht="14.25" customHeight="1" x14ac:dyDescent="0.3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  <c r="AO663" s="109"/>
      <c r="AP663" s="109"/>
      <c r="AQ663" s="109"/>
      <c r="AR663" s="109"/>
      <c r="AS663" s="109"/>
      <c r="AT663" s="109"/>
      <c r="AU663" s="109"/>
    </row>
    <row r="664" spans="1:47" ht="14.25" customHeight="1" x14ac:dyDescent="0.3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  <c r="AO664" s="109"/>
      <c r="AP664" s="109"/>
      <c r="AQ664" s="109"/>
      <c r="AR664" s="109"/>
      <c r="AS664" s="109"/>
      <c r="AT664" s="109"/>
      <c r="AU664" s="109"/>
    </row>
    <row r="665" spans="1:47" ht="14.25" customHeight="1" x14ac:dyDescent="0.3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/>
      <c r="AM665" s="109"/>
      <c r="AN665" s="109"/>
      <c r="AO665" s="109"/>
      <c r="AP665" s="109"/>
      <c r="AQ665" s="109"/>
      <c r="AR665" s="109"/>
      <c r="AS665" s="109"/>
      <c r="AT665" s="109"/>
      <c r="AU665" s="109"/>
    </row>
    <row r="666" spans="1:47" ht="14.25" customHeight="1" x14ac:dyDescent="0.3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  <c r="AO666" s="109"/>
      <c r="AP666" s="109"/>
      <c r="AQ666" s="109"/>
      <c r="AR666" s="109"/>
      <c r="AS666" s="109"/>
      <c r="AT666" s="109"/>
      <c r="AU666" s="109"/>
    </row>
    <row r="667" spans="1:47" ht="14.25" customHeight="1" x14ac:dyDescent="0.3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  <c r="AO667" s="109"/>
      <c r="AP667" s="109"/>
      <c r="AQ667" s="109"/>
      <c r="AR667" s="109"/>
      <c r="AS667" s="109"/>
      <c r="AT667" s="109"/>
      <c r="AU667" s="109"/>
    </row>
    <row r="668" spans="1:47" ht="14.25" customHeight="1" x14ac:dyDescent="0.3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  <c r="AO668" s="109"/>
      <c r="AP668" s="109"/>
      <c r="AQ668" s="109"/>
      <c r="AR668" s="109"/>
      <c r="AS668" s="109"/>
      <c r="AT668" s="109"/>
      <c r="AU668" s="109"/>
    </row>
    <row r="669" spans="1:47" ht="14.25" customHeight="1" x14ac:dyDescent="0.3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  <c r="AO669" s="109"/>
      <c r="AP669" s="109"/>
      <c r="AQ669" s="109"/>
      <c r="AR669" s="109"/>
      <c r="AS669" s="109"/>
      <c r="AT669" s="109"/>
      <c r="AU669" s="109"/>
    </row>
    <row r="670" spans="1:47" ht="14.25" customHeight="1" x14ac:dyDescent="0.3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/>
      <c r="AM670" s="109"/>
      <c r="AN670" s="109"/>
      <c r="AO670" s="109"/>
      <c r="AP670" s="109"/>
      <c r="AQ670" s="109"/>
      <c r="AR670" s="109"/>
      <c r="AS670" s="109"/>
      <c r="AT670" s="109"/>
      <c r="AU670" s="109"/>
    </row>
    <row r="671" spans="1:47" ht="14.25" customHeight="1" x14ac:dyDescent="0.3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  <c r="AL671" s="109"/>
      <c r="AM671" s="109"/>
      <c r="AN671" s="109"/>
      <c r="AO671" s="109"/>
      <c r="AP671" s="109"/>
      <c r="AQ671" s="109"/>
      <c r="AR671" s="109"/>
      <c r="AS671" s="109"/>
      <c r="AT671" s="109"/>
      <c r="AU671" s="109"/>
    </row>
    <row r="672" spans="1:47" ht="14.25" customHeight="1" x14ac:dyDescent="0.3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/>
      <c r="AM672" s="109"/>
      <c r="AN672" s="109"/>
      <c r="AO672" s="109"/>
      <c r="AP672" s="109"/>
      <c r="AQ672" s="109"/>
      <c r="AR672" s="109"/>
      <c r="AS672" s="109"/>
      <c r="AT672" s="109"/>
      <c r="AU672" s="109"/>
    </row>
    <row r="673" spans="1:47" ht="14.25" customHeight="1" x14ac:dyDescent="0.3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/>
      <c r="AM673" s="109"/>
      <c r="AN673" s="109"/>
      <c r="AO673" s="109"/>
      <c r="AP673" s="109"/>
      <c r="AQ673" s="109"/>
      <c r="AR673" s="109"/>
      <c r="AS673" s="109"/>
      <c r="AT673" s="109"/>
      <c r="AU673" s="109"/>
    </row>
    <row r="674" spans="1:47" ht="14.25" customHeight="1" x14ac:dyDescent="0.3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  <c r="AO674" s="109"/>
      <c r="AP674" s="109"/>
      <c r="AQ674" s="109"/>
      <c r="AR674" s="109"/>
      <c r="AS674" s="109"/>
      <c r="AT674" s="109"/>
      <c r="AU674" s="109"/>
    </row>
    <row r="675" spans="1:47" ht="14.25" customHeight="1" x14ac:dyDescent="0.3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/>
      <c r="AM675" s="109"/>
      <c r="AN675" s="109"/>
      <c r="AO675" s="109"/>
      <c r="AP675" s="109"/>
      <c r="AQ675" s="109"/>
      <c r="AR675" s="109"/>
      <c r="AS675" s="109"/>
      <c r="AT675" s="109"/>
      <c r="AU675" s="109"/>
    </row>
    <row r="676" spans="1:47" ht="14.25" customHeight="1" x14ac:dyDescent="0.3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/>
      <c r="AM676" s="109"/>
      <c r="AN676" s="109"/>
      <c r="AO676" s="109"/>
      <c r="AP676" s="109"/>
      <c r="AQ676" s="109"/>
      <c r="AR676" s="109"/>
      <c r="AS676" s="109"/>
      <c r="AT676" s="109"/>
      <c r="AU676" s="109"/>
    </row>
    <row r="677" spans="1:47" ht="14.25" customHeight="1" x14ac:dyDescent="0.3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/>
      <c r="AM677" s="109"/>
      <c r="AN677" s="109"/>
      <c r="AO677" s="109"/>
      <c r="AP677" s="109"/>
      <c r="AQ677" s="109"/>
      <c r="AR677" s="109"/>
      <c r="AS677" s="109"/>
      <c r="AT677" s="109"/>
      <c r="AU677" s="109"/>
    </row>
    <row r="678" spans="1:47" ht="14.25" customHeight="1" x14ac:dyDescent="0.3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  <c r="AO678" s="109"/>
      <c r="AP678" s="109"/>
      <c r="AQ678" s="109"/>
      <c r="AR678" s="109"/>
      <c r="AS678" s="109"/>
      <c r="AT678" s="109"/>
      <c r="AU678" s="109"/>
    </row>
    <row r="679" spans="1:47" ht="14.25" customHeight="1" x14ac:dyDescent="0.3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  <c r="AO679" s="109"/>
      <c r="AP679" s="109"/>
      <c r="AQ679" s="109"/>
      <c r="AR679" s="109"/>
      <c r="AS679" s="109"/>
      <c r="AT679" s="109"/>
      <c r="AU679" s="109"/>
    </row>
    <row r="680" spans="1:47" ht="14.25" customHeight="1" x14ac:dyDescent="0.3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  <c r="AO680" s="109"/>
      <c r="AP680" s="109"/>
      <c r="AQ680" s="109"/>
      <c r="AR680" s="109"/>
      <c r="AS680" s="109"/>
      <c r="AT680" s="109"/>
      <c r="AU680" s="109"/>
    </row>
    <row r="681" spans="1:47" ht="14.25" customHeight="1" x14ac:dyDescent="0.3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  <c r="AO681" s="109"/>
      <c r="AP681" s="109"/>
      <c r="AQ681" s="109"/>
      <c r="AR681" s="109"/>
      <c r="AS681" s="109"/>
      <c r="AT681" s="109"/>
      <c r="AU681" s="109"/>
    </row>
    <row r="682" spans="1:47" ht="14.25" customHeight="1" x14ac:dyDescent="0.3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  <c r="AL682" s="109"/>
      <c r="AM682" s="109"/>
      <c r="AN682" s="109"/>
      <c r="AO682" s="109"/>
      <c r="AP682" s="109"/>
      <c r="AQ682" s="109"/>
      <c r="AR682" s="109"/>
      <c r="AS682" s="109"/>
      <c r="AT682" s="109"/>
      <c r="AU682" s="109"/>
    </row>
    <row r="683" spans="1:47" ht="14.25" customHeight="1" x14ac:dyDescent="0.3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  <c r="AL683" s="109"/>
      <c r="AM683" s="109"/>
      <c r="AN683" s="109"/>
      <c r="AO683" s="109"/>
      <c r="AP683" s="109"/>
      <c r="AQ683" s="109"/>
      <c r="AR683" s="109"/>
      <c r="AS683" s="109"/>
      <c r="AT683" s="109"/>
      <c r="AU683" s="109"/>
    </row>
    <row r="684" spans="1:47" ht="14.25" customHeight="1" x14ac:dyDescent="0.3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  <c r="AL684" s="109"/>
      <c r="AM684" s="109"/>
      <c r="AN684" s="109"/>
      <c r="AO684" s="109"/>
      <c r="AP684" s="109"/>
      <c r="AQ684" s="109"/>
      <c r="AR684" s="109"/>
      <c r="AS684" s="109"/>
      <c r="AT684" s="109"/>
      <c r="AU684" s="109"/>
    </row>
    <row r="685" spans="1:47" ht="14.25" customHeight="1" x14ac:dyDescent="0.3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  <c r="AL685" s="109"/>
      <c r="AM685" s="109"/>
      <c r="AN685" s="109"/>
      <c r="AO685" s="109"/>
      <c r="AP685" s="109"/>
      <c r="AQ685" s="109"/>
      <c r="AR685" s="109"/>
      <c r="AS685" s="109"/>
      <c r="AT685" s="109"/>
      <c r="AU685" s="109"/>
    </row>
    <row r="686" spans="1:47" ht="14.25" customHeight="1" x14ac:dyDescent="0.3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  <c r="AL686" s="109"/>
      <c r="AM686" s="109"/>
      <c r="AN686" s="109"/>
      <c r="AO686" s="109"/>
      <c r="AP686" s="109"/>
      <c r="AQ686" s="109"/>
      <c r="AR686" s="109"/>
      <c r="AS686" s="109"/>
      <c r="AT686" s="109"/>
      <c r="AU686" s="109"/>
    </row>
    <row r="687" spans="1:47" ht="14.25" customHeight="1" x14ac:dyDescent="0.3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  <c r="AL687" s="109"/>
      <c r="AM687" s="109"/>
      <c r="AN687" s="109"/>
      <c r="AO687" s="109"/>
      <c r="AP687" s="109"/>
      <c r="AQ687" s="109"/>
      <c r="AR687" s="109"/>
      <c r="AS687" s="109"/>
      <c r="AT687" s="109"/>
      <c r="AU687" s="109"/>
    </row>
    <row r="688" spans="1:47" ht="14.25" customHeight="1" x14ac:dyDescent="0.3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  <c r="AL688" s="109"/>
      <c r="AM688" s="109"/>
      <c r="AN688" s="109"/>
      <c r="AO688" s="109"/>
      <c r="AP688" s="109"/>
      <c r="AQ688" s="109"/>
      <c r="AR688" s="109"/>
      <c r="AS688" s="109"/>
      <c r="AT688" s="109"/>
      <c r="AU688" s="109"/>
    </row>
    <row r="689" spans="1:47" ht="14.25" customHeight="1" x14ac:dyDescent="0.3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  <c r="AD689" s="109"/>
      <c r="AE689" s="109"/>
      <c r="AF689" s="109"/>
      <c r="AG689" s="109"/>
      <c r="AH689" s="109"/>
      <c r="AI689" s="109"/>
      <c r="AJ689" s="109"/>
      <c r="AK689" s="109"/>
      <c r="AL689" s="109"/>
      <c r="AM689" s="109"/>
      <c r="AN689" s="109"/>
      <c r="AO689" s="109"/>
      <c r="AP689" s="109"/>
      <c r="AQ689" s="109"/>
      <c r="AR689" s="109"/>
      <c r="AS689" s="109"/>
      <c r="AT689" s="109"/>
      <c r="AU689" s="109"/>
    </row>
    <row r="690" spans="1:47" ht="14.25" customHeight="1" x14ac:dyDescent="0.3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  <c r="AL690" s="109"/>
      <c r="AM690" s="109"/>
      <c r="AN690" s="109"/>
      <c r="AO690" s="109"/>
      <c r="AP690" s="109"/>
      <c r="AQ690" s="109"/>
      <c r="AR690" s="109"/>
      <c r="AS690" s="109"/>
      <c r="AT690" s="109"/>
      <c r="AU690" s="109"/>
    </row>
    <row r="691" spans="1:47" ht="14.25" customHeight="1" x14ac:dyDescent="0.3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  <c r="AL691" s="109"/>
      <c r="AM691" s="109"/>
      <c r="AN691" s="109"/>
      <c r="AO691" s="109"/>
      <c r="AP691" s="109"/>
      <c r="AQ691" s="109"/>
      <c r="AR691" s="109"/>
      <c r="AS691" s="109"/>
      <c r="AT691" s="109"/>
      <c r="AU691" s="109"/>
    </row>
    <row r="692" spans="1:47" ht="14.25" customHeight="1" x14ac:dyDescent="0.3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/>
      <c r="AM692" s="109"/>
      <c r="AN692" s="109"/>
      <c r="AO692" s="109"/>
      <c r="AP692" s="109"/>
      <c r="AQ692" s="109"/>
      <c r="AR692" s="109"/>
      <c r="AS692" s="109"/>
      <c r="AT692" s="109"/>
      <c r="AU692" s="109"/>
    </row>
    <row r="693" spans="1:47" ht="14.25" customHeight="1" x14ac:dyDescent="0.3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  <c r="AO693" s="109"/>
      <c r="AP693" s="109"/>
      <c r="AQ693" s="109"/>
      <c r="AR693" s="109"/>
      <c r="AS693" s="109"/>
      <c r="AT693" s="109"/>
      <c r="AU693" s="109"/>
    </row>
    <row r="694" spans="1:47" ht="14.25" customHeight="1" x14ac:dyDescent="0.3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  <c r="AL694" s="109"/>
      <c r="AM694" s="109"/>
      <c r="AN694" s="109"/>
      <c r="AO694" s="109"/>
      <c r="AP694" s="109"/>
      <c r="AQ694" s="109"/>
      <c r="AR694" s="109"/>
      <c r="AS694" s="109"/>
      <c r="AT694" s="109"/>
      <c r="AU694" s="109"/>
    </row>
    <row r="695" spans="1:47" ht="14.25" customHeight="1" x14ac:dyDescent="0.3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  <c r="AL695" s="109"/>
      <c r="AM695" s="109"/>
      <c r="AN695" s="109"/>
      <c r="AO695" s="109"/>
      <c r="AP695" s="109"/>
      <c r="AQ695" s="109"/>
      <c r="AR695" s="109"/>
      <c r="AS695" s="109"/>
      <c r="AT695" s="109"/>
      <c r="AU695" s="109"/>
    </row>
    <row r="696" spans="1:47" ht="14.25" customHeight="1" x14ac:dyDescent="0.3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  <c r="AL696" s="109"/>
      <c r="AM696" s="109"/>
      <c r="AN696" s="109"/>
      <c r="AO696" s="109"/>
      <c r="AP696" s="109"/>
      <c r="AQ696" s="109"/>
      <c r="AR696" s="109"/>
      <c r="AS696" s="109"/>
      <c r="AT696" s="109"/>
      <c r="AU696" s="109"/>
    </row>
    <row r="697" spans="1:47" ht="14.25" customHeight="1" x14ac:dyDescent="0.3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  <c r="AL697" s="109"/>
      <c r="AM697" s="109"/>
      <c r="AN697" s="109"/>
      <c r="AO697" s="109"/>
      <c r="AP697" s="109"/>
      <c r="AQ697" s="109"/>
      <c r="AR697" s="109"/>
      <c r="AS697" s="109"/>
      <c r="AT697" s="109"/>
      <c r="AU697" s="109"/>
    </row>
    <row r="698" spans="1:47" ht="14.25" customHeight="1" x14ac:dyDescent="0.3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  <c r="AD698" s="109"/>
      <c r="AE698" s="109"/>
      <c r="AF698" s="109"/>
      <c r="AG698" s="109"/>
      <c r="AH698" s="109"/>
      <c r="AI698" s="109"/>
      <c r="AJ698" s="109"/>
      <c r="AK698" s="109"/>
      <c r="AL698" s="109"/>
      <c r="AM698" s="109"/>
      <c r="AN698" s="109"/>
      <c r="AO698" s="109"/>
      <c r="AP698" s="109"/>
      <c r="AQ698" s="109"/>
      <c r="AR698" s="109"/>
      <c r="AS698" s="109"/>
      <c r="AT698" s="109"/>
      <c r="AU698" s="109"/>
    </row>
    <row r="699" spans="1:47" ht="14.25" customHeight="1" x14ac:dyDescent="0.3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  <c r="AL699" s="109"/>
      <c r="AM699" s="109"/>
      <c r="AN699" s="109"/>
      <c r="AO699" s="109"/>
      <c r="AP699" s="109"/>
      <c r="AQ699" s="109"/>
      <c r="AR699" s="109"/>
      <c r="AS699" s="109"/>
      <c r="AT699" s="109"/>
      <c r="AU699" s="109"/>
    </row>
    <row r="700" spans="1:47" ht="14.25" customHeight="1" x14ac:dyDescent="0.3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  <c r="AD700" s="109"/>
      <c r="AE700" s="109"/>
      <c r="AF700" s="109"/>
      <c r="AG700" s="109"/>
      <c r="AH700" s="109"/>
      <c r="AI700" s="109"/>
      <c r="AJ700" s="109"/>
      <c r="AK700" s="109"/>
      <c r="AL700" s="109"/>
      <c r="AM700" s="109"/>
      <c r="AN700" s="109"/>
      <c r="AO700" s="109"/>
      <c r="AP700" s="109"/>
      <c r="AQ700" s="109"/>
      <c r="AR700" s="109"/>
      <c r="AS700" s="109"/>
      <c r="AT700" s="109"/>
      <c r="AU700" s="109"/>
    </row>
    <row r="701" spans="1:47" ht="14.25" customHeight="1" x14ac:dyDescent="0.3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109"/>
      <c r="AK701" s="109"/>
      <c r="AL701" s="109"/>
      <c r="AM701" s="109"/>
      <c r="AN701" s="109"/>
      <c r="AO701" s="109"/>
      <c r="AP701" s="109"/>
      <c r="AQ701" s="109"/>
      <c r="AR701" s="109"/>
      <c r="AS701" s="109"/>
      <c r="AT701" s="109"/>
      <c r="AU701" s="109"/>
    </row>
    <row r="702" spans="1:47" ht="14.25" customHeight="1" x14ac:dyDescent="0.3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  <c r="AD702" s="109"/>
      <c r="AE702" s="109"/>
      <c r="AF702" s="109"/>
      <c r="AG702" s="109"/>
      <c r="AH702" s="109"/>
      <c r="AI702" s="109"/>
      <c r="AJ702" s="109"/>
      <c r="AK702" s="109"/>
      <c r="AL702" s="109"/>
      <c r="AM702" s="109"/>
      <c r="AN702" s="109"/>
      <c r="AO702" s="109"/>
      <c r="AP702" s="109"/>
      <c r="AQ702" s="109"/>
      <c r="AR702" s="109"/>
      <c r="AS702" s="109"/>
      <c r="AT702" s="109"/>
      <c r="AU702" s="109"/>
    </row>
    <row r="703" spans="1:47" ht="14.25" customHeight="1" x14ac:dyDescent="0.3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  <c r="AD703" s="109"/>
      <c r="AE703" s="109"/>
      <c r="AF703" s="109"/>
      <c r="AG703" s="109"/>
      <c r="AH703" s="109"/>
      <c r="AI703" s="109"/>
      <c r="AJ703" s="109"/>
      <c r="AK703" s="109"/>
      <c r="AL703" s="109"/>
      <c r="AM703" s="109"/>
      <c r="AN703" s="109"/>
      <c r="AO703" s="109"/>
      <c r="AP703" s="109"/>
      <c r="AQ703" s="109"/>
      <c r="AR703" s="109"/>
      <c r="AS703" s="109"/>
      <c r="AT703" s="109"/>
      <c r="AU703" s="109"/>
    </row>
    <row r="704" spans="1:47" ht="14.25" customHeight="1" x14ac:dyDescent="0.3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  <c r="AL704" s="109"/>
      <c r="AM704" s="109"/>
      <c r="AN704" s="109"/>
      <c r="AO704" s="109"/>
      <c r="AP704" s="109"/>
      <c r="AQ704" s="109"/>
      <c r="AR704" s="109"/>
      <c r="AS704" s="109"/>
      <c r="AT704" s="109"/>
      <c r="AU704" s="109"/>
    </row>
    <row r="705" spans="1:47" ht="14.25" customHeight="1" x14ac:dyDescent="0.3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  <c r="AL705" s="109"/>
      <c r="AM705" s="109"/>
      <c r="AN705" s="109"/>
      <c r="AO705" s="109"/>
      <c r="AP705" s="109"/>
      <c r="AQ705" s="109"/>
      <c r="AR705" s="109"/>
      <c r="AS705" s="109"/>
      <c r="AT705" s="109"/>
      <c r="AU705" s="109"/>
    </row>
    <row r="706" spans="1:47" ht="14.25" customHeight="1" x14ac:dyDescent="0.3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09"/>
      <c r="AJ706" s="109"/>
      <c r="AK706" s="109"/>
      <c r="AL706" s="109"/>
      <c r="AM706" s="109"/>
      <c r="AN706" s="109"/>
      <c r="AO706" s="109"/>
      <c r="AP706" s="109"/>
      <c r="AQ706" s="109"/>
      <c r="AR706" s="109"/>
      <c r="AS706" s="109"/>
      <c r="AT706" s="109"/>
      <c r="AU706" s="109"/>
    </row>
    <row r="707" spans="1:47" ht="14.25" customHeight="1" x14ac:dyDescent="0.3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  <c r="AD707" s="109"/>
      <c r="AE707" s="109"/>
      <c r="AF707" s="109"/>
      <c r="AG707" s="109"/>
      <c r="AH707" s="109"/>
      <c r="AI707" s="109"/>
      <c r="AJ707" s="109"/>
      <c r="AK707" s="109"/>
      <c r="AL707" s="109"/>
      <c r="AM707" s="109"/>
      <c r="AN707" s="109"/>
      <c r="AO707" s="109"/>
      <c r="AP707" s="109"/>
      <c r="AQ707" s="109"/>
      <c r="AR707" s="109"/>
      <c r="AS707" s="109"/>
      <c r="AT707" s="109"/>
      <c r="AU707" s="109"/>
    </row>
    <row r="708" spans="1:47" ht="14.25" customHeight="1" x14ac:dyDescent="0.3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  <c r="AD708" s="109"/>
      <c r="AE708" s="109"/>
      <c r="AF708" s="109"/>
      <c r="AG708" s="109"/>
      <c r="AH708" s="109"/>
      <c r="AI708" s="109"/>
      <c r="AJ708" s="109"/>
      <c r="AK708" s="109"/>
      <c r="AL708" s="109"/>
      <c r="AM708" s="109"/>
      <c r="AN708" s="109"/>
      <c r="AO708" s="109"/>
      <c r="AP708" s="109"/>
      <c r="AQ708" s="109"/>
      <c r="AR708" s="109"/>
      <c r="AS708" s="109"/>
      <c r="AT708" s="109"/>
      <c r="AU708" s="109"/>
    </row>
    <row r="709" spans="1:47" ht="14.25" customHeight="1" x14ac:dyDescent="0.3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  <c r="AD709" s="109"/>
      <c r="AE709" s="109"/>
      <c r="AF709" s="109"/>
      <c r="AG709" s="109"/>
      <c r="AH709" s="109"/>
      <c r="AI709" s="109"/>
      <c r="AJ709" s="109"/>
      <c r="AK709" s="109"/>
      <c r="AL709" s="109"/>
      <c r="AM709" s="109"/>
      <c r="AN709" s="109"/>
      <c r="AO709" s="109"/>
      <c r="AP709" s="109"/>
      <c r="AQ709" s="109"/>
      <c r="AR709" s="109"/>
      <c r="AS709" s="109"/>
      <c r="AT709" s="109"/>
      <c r="AU709" s="109"/>
    </row>
    <row r="710" spans="1:47" ht="14.25" customHeight="1" x14ac:dyDescent="0.3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  <c r="AD710" s="109"/>
      <c r="AE710" s="109"/>
      <c r="AF710" s="109"/>
      <c r="AG710" s="109"/>
      <c r="AH710" s="109"/>
      <c r="AI710" s="109"/>
      <c r="AJ710" s="109"/>
      <c r="AK710" s="109"/>
      <c r="AL710" s="109"/>
      <c r="AM710" s="109"/>
      <c r="AN710" s="109"/>
      <c r="AO710" s="109"/>
      <c r="AP710" s="109"/>
      <c r="AQ710" s="109"/>
      <c r="AR710" s="109"/>
      <c r="AS710" s="109"/>
      <c r="AT710" s="109"/>
      <c r="AU710" s="109"/>
    </row>
    <row r="711" spans="1:47" ht="14.25" customHeight="1" x14ac:dyDescent="0.3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  <c r="AD711" s="109"/>
      <c r="AE711" s="109"/>
      <c r="AF711" s="109"/>
      <c r="AG711" s="109"/>
      <c r="AH711" s="109"/>
      <c r="AI711" s="109"/>
      <c r="AJ711" s="109"/>
      <c r="AK711" s="109"/>
      <c r="AL711" s="109"/>
      <c r="AM711" s="109"/>
      <c r="AN711" s="109"/>
      <c r="AO711" s="109"/>
      <c r="AP711" s="109"/>
      <c r="AQ711" s="109"/>
      <c r="AR711" s="109"/>
      <c r="AS711" s="109"/>
      <c r="AT711" s="109"/>
      <c r="AU711" s="109"/>
    </row>
    <row r="712" spans="1:47" ht="14.25" customHeight="1" x14ac:dyDescent="0.3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  <c r="AL712" s="109"/>
      <c r="AM712" s="109"/>
      <c r="AN712" s="109"/>
      <c r="AO712" s="109"/>
      <c r="AP712" s="109"/>
      <c r="AQ712" s="109"/>
      <c r="AR712" s="109"/>
      <c r="AS712" s="109"/>
      <c r="AT712" s="109"/>
      <c r="AU712" s="109"/>
    </row>
    <row r="713" spans="1:47" ht="14.25" customHeight="1" x14ac:dyDescent="0.3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  <c r="AL713" s="109"/>
      <c r="AM713" s="109"/>
      <c r="AN713" s="109"/>
      <c r="AO713" s="109"/>
      <c r="AP713" s="109"/>
      <c r="AQ713" s="109"/>
      <c r="AR713" s="109"/>
      <c r="AS713" s="109"/>
      <c r="AT713" s="109"/>
      <c r="AU713" s="109"/>
    </row>
    <row r="714" spans="1:47" ht="14.25" customHeight="1" x14ac:dyDescent="0.3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  <c r="AL714" s="109"/>
      <c r="AM714" s="109"/>
      <c r="AN714" s="109"/>
      <c r="AO714" s="109"/>
      <c r="AP714" s="109"/>
      <c r="AQ714" s="109"/>
      <c r="AR714" s="109"/>
      <c r="AS714" s="109"/>
      <c r="AT714" s="109"/>
      <c r="AU714" s="109"/>
    </row>
    <row r="715" spans="1:47" ht="14.25" customHeight="1" x14ac:dyDescent="0.3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  <c r="AL715" s="109"/>
      <c r="AM715" s="109"/>
      <c r="AN715" s="109"/>
      <c r="AO715" s="109"/>
      <c r="AP715" s="109"/>
      <c r="AQ715" s="109"/>
      <c r="AR715" s="109"/>
      <c r="AS715" s="109"/>
      <c r="AT715" s="109"/>
      <c r="AU715" s="109"/>
    </row>
    <row r="716" spans="1:47" ht="14.25" customHeight="1" x14ac:dyDescent="0.3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  <c r="AL716" s="109"/>
      <c r="AM716" s="109"/>
      <c r="AN716" s="109"/>
      <c r="AO716" s="109"/>
      <c r="AP716" s="109"/>
      <c r="AQ716" s="109"/>
      <c r="AR716" s="109"/>
      <c r="AS716" s="109"/>
      <c r="AT716" s="109"/>
      <c r="AU716" s="109"/>
    </row>
    <row r="717" spans="1:47" ht="14.25" customHeight="1" x14ac:dyDescent="0.3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  <c r="AL717" s="109"/>
      <c r="AM717" s="109"/>
      <c r="AN717" s="109"/>
      <c r="AO717" s="109"/>
      <c r="AP717" s="109"/>
      <c r="AQ717" s="109"/>
      <c r="AR717" s="109"/>
      <c r="AS717" s="109"/>
      <c r="AT717" s="109"/>
      <c r="AU717" s="109"/>
    </row>
    <row r="718" spans="1:47" ht="14.25" customHeight="1" x14ac:dyDescent="0.3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  <c r="AD718" s="109"/>
      <c r="AE718" s="109"/>
      <c r="AF718" s="109"/>
      <c r="AG718" s="109"/>
      <c r="AH718" s="109"/>
      <c r="AI718" s="109"/>
      <c r="AJ718" s="109"/>
      <c r="AK718" s="109"/>
      <c r="AL718" s="109"/>
      <c r="AM718" s="109"/>
      <c r="AN718" s="109"/>
      <c r="AO718" s="109"/>
      <c r="AP718" s="109"/>
      <c r="AQ718" s="109"/>
      <c r="AR718" s="109"/>
      <c r="AS718" s="109"/>
      <c r="AT718" s="109"/>
      <c r="AU718" s="109"/>
    </row>
    <row r="719" spans="1:47" ht="14.25" customHeight="1" x14ac:dyDescent="0.3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09"/>
      <c r="AM719" s="109"/>
      <c r="AN719" s="109"/>
      <c r="AO719" s="109"/>
      <c r="AP719" s="109"/>
      <c r="AQ719" s="109"/>
      <c r="AR719" s="109"/>
      <c r="AS719" s="109"/>
      <c r="AT719" s="109"/>
      <c r="AU719" s="109"/>
    </row>
    <row r="720" spans="1:47" ht="14.25" customHeight="1" x14ac:dyDescent="0.3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  <c r="AD720" s="109"/>
      <c r="AE720" s="109"/>
      <c r="AF720" s="109"/>
      <c r="AG720" s="109"/>
      <c r="AH720" s="109"/>
      <c r="AI720" s="109"/>
      <c r="AJ720" s="109"/>
      <c r="AK720" s="109"/>
      <c r="AL720" s="109"/>
      <c r="AM720" s="109"/>
      <c r="AN720" s="109"/>
      <c r="AO720" s="109"/>
      <c r="AP720" s="109"/>
      <c r="AQ720" s="109"/>
      <c r="AR720" s="109"/>
      <c r="AS720" s="109"/>
      <c r="AT720" s="109"/>
      <c r="AU720" s="109"/>
    </row>
    <row r="721" spans="1:47" ht="14.25" customHeight="1" x14ac:dyDescent="0.3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  <c r="AD721" s="109"/>
      <c r="AE721" s="109"/>
      <c r="AF721" s="109"/>
      <c r="AG721" s="109"/>
      <c r="AH721" s="109"/>
      <c r="AI721" s="109"/>
      <c r="AJ721" s="109"/>
      <c r="AK721" s="109"/>
      <c r="AL721" s="109"/>
      <c r="AM721" s="109"/>
      <c r="AN721" s="109"/>
      <c r="AO721" s="109"/>
      <c r="AP721" s="109"/>
      <c r="AQ721" s="109"/>
      <c r="AR721" s="109"/>
      <c r="AS721" s="109"/>
      <c r="AT721" s="109"/>
      <c r="AU721" s="109"/>
    </row>
    <row r="722" spans="1:47" ht="14.25" customHeight="1" x14ac:dyDescent="0.3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  <c r="AL722" s="109"/>
      <c r="AM722" s="109"/>
      <c r="AN722" s="109"/>
      <c r="AO722" s="109"/>
      <c r="AP722" s="109"/>
      <c r="AQ722" s="109"/>
      <c r="AR722" s="109"/>
      <c r="AS722" s="109"/>
      <c r="AT722" s="109"/>
      <c r="AU722" s="109"/>
    </row>
    <row r="723" spans="1:47" ht="14.25" customHeight="1" x14ac:dyDescent="0.3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  <c r="AL723" s="109"/>
      <c r="AM723" s="109"/>
      <c r="AN723" s="109"/>
      <c r="AO723" s="109"/>
      <c r="AP723" s="109"/>
      <c r="AQ723" s="109"/>
      <c r="AR723" s="109"/>
      <c r="AS723" s="109"/>
      <c r="AT723" s="109"/>
      <c r="AU723" s="109"/>
    </row>
    <row r="724" spans="1:47" ht="14.25" customHeight="1" x14ac:dyDescent="0.3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  <c r="AL724" s="109"/>
      <c r="AM724" s="109"/>
      <c r="AN724" s="109"/>
      <c r="AO724" s="109"/>
      <c r="AP724" s="109"/>
      <c r="AQ724" s="109"/>
      <c r="AR724" s="109"/>
      <c r="AS724" s="109"/>
      <c r="AT724" s="109"/>
      <c r="AU724" s="109"/>
    </row>
    <row r="725" spans="1:47" ht="14.25" customHeight="1" x14ac:dyDescent="0.3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  <c r="AL725" s="109"/>
      <c r="AM725" s="109"/>
      <c r="AN725" s="109"/>
      <c r="AO725" s="109"/>
      <c r="AP725" s="109"/>
      <c r="AQ725" s="109"/>
      <c r="AR725" s="109"/>
      <c r="AS725" s="109"/>
      <c r="AT725" s="109"/>
      <c r="AU725" s="109"/>
    </row>
    <row r="726" spans="1:47" ht="14.25" customHeight="1" x14ac:dyDescent="0.3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  <c r="AL726" s="109"/>
      <c r="AM726" s="109"/>
      <c r="AN726" s="109"/>
      <c r="AO726" s="109"/>
      <c r="AP726" s="109"/>
      <c r="AQ726" s="109"/>
      <c r="AR726" s="109"/>
      <c r="AS726" s="109"/>
      <c r="AT726" s="109"/>
      <c r="AU726" s="109"/>
    </row>
    <row r="727" spans="1:47" ht="14.25" customHeight="1" x14ac:dyDescent="0.3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  <c r="AD727" s="109"/>
      <c r="AE727" s="109"/>
      <c r="AF727" s="109"/>
      <c r="AG727" s="109"/>
      <c r="AH727" s="109"/>
      <c r="AI727" s="109"/>
      <c r="AJ727" s="109"/>
      <c r="AK727" s="109"/>
      <c r="AL727" s="109"/>
      <c r="AM727" s="109"/>
      <c r="AN727" s="109"/>
      <c r="AO727" s="109"/>
      <c r="AP727" s="109"/>
      <c r="AQ727" s="109"/>
      <c r="AR727" s="109"/>
      <c r="AS727" s="109"/>
      <c r="AT727" s="109"/>
      <c r="AU727" s="109"/>
    </row>
    <row r="728" spans="1:47" ht="14.25" customHeight="1" x14ac:dyDescent="0.3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  <c r="AL728" s="109"/>
      <c r="AM728" s="109"/>
      <c r="AN728" s="109"/>
      <c r="AO728" s="109"/>
      <c r="AP728" s="109"/>
      <c r="AQ728" s="109"/>
      <c r="AR728" s="109"/>
      <c r="AS728" s="109"/>
      <c r="AT728" s="109"/>
      <c r="AU728" s="109"/>
    </row>
    <row r="729" spans="1:47" ht="14.25" customHeight="1" x14ac:dyDescent="0.3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  <c r="AL729" s="109"/>
      <c r="AM729" s="109"/>
      <c r="AN729" s="109"/>
      <c r="AO729" s="109"/>
      <c r="AP729" s="109"/>
      <c r="AQ729" s="109"/>
      <c r="AR729" s="109"/>
      <c r="AS729" s="109"/>
      <c r="AT729" s="109"/>
      <c r="AU729" s="109"/>
    </row>
    <row r="730" spans="1:47" ht="14.25" customHeight="1" x14ac:dyDescent="0.3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  <c r="AD730" s="109"/>
      <c r="AE730" s="109"/>
      <c r="AF730" s="109"/>
      <c r="AG730" s="109"/>
      <c r="AH730" s="109"/>
      <c r="AI730" s="109"/>
      <c r="AJ730" s="109"/>
      <c r="AK730" s="109"/>
      <c r="AL730" s="109"/>
      <c r="AM730" s="109"/>
      <c r="AN730" s="109"/>
      <c r="AO730" s="109"/>
      <c r="AP730" s="109"/>
      <c r="AQ730" s="109"/>
      <c r="AR730" s="109"/>
      <c r="AS730" s="109"/>
      <c r="AT730" s="109"/>
      <c r="AU730" s="109"/>
    </row>
    <row r="731" spans="1:47" ht="14.25" customHeight="1" x14ac:dyDescent="0.3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  <c r="AL731" s="109"/>
      <c r="AM731" s="109"/>
      <c r="AN731" s="109"/>
      <c r="AO731" s="109"/>
      <c r="AP731" s="109"/>
      <c r="AQ731" s="109"/>
      <c r="AR731" s="109"/>
      <c r="AS731" s="109"/>
      <c r="AT731" s="109"/>
      <c r="AU731" s="109"/>
    </row>
    <row r="732" spans="1:47" ht="14.25" customHeight="1" x14ac:dyDescent="0.3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  <c r="AD732" s="109"/>
      <c r="AE732" s="109"/>
      <c r="AF732" s="109"/>
      <c r="AG732" s="109"/>
      <c r="AH732" s="109"/>
      <c r="AI732" s="109"/>
      <c r="AJ732" s="109"/>
      <c r="AK732" s="109"/>
      <c r="AL732" s="109"/>
      <c r="AM732" s="109"/>
      <c r="AN732" s="109"/>
      <c r="AO732" s="109"/>
      <c r="AP732" s="109"/>
      <c r="AQ732" s="109"/>
      <c r="AR732" s="109"/>
      <c r="AS732" s="109"/>
      <c r="AT732" s="109"/>
      <c r="AU732" s="109"/>
    </row>
    <row r="733" spans="1:47" ht="14.25" customHeight="1" x14ac:dyDescent="0.3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  <c r="AL733" s="109"/>
      <c r="AM733" s="109"/>
      <c r="AN733" s="109"/>
      <c r="AO733" s="109"/>
      <c r="AP733" s="109"/>
      <c r="AQ733" s="109"/>
      <c r="AR733" s="109"/>
      <c r="AS733" s="109"/>
      <c r="AT733" s="109"/>
      <c r="AU733" s="109"/>
    </row>
    <row r="734" spans="1:47" ht="14.25" customHeight="1" x14ac:dyDescent="0.3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  <c r="AL734" s="109"/>
      <c r="AM734" s="109"/>
      <c r="AN734" s="109"/>
      <c r="AO734" s="109"/>
      <c r="AP734" s="109"/>
      <c r="AQ734" s="109"/>
      <c r="AR734" s="109"/>
      <c r="AS734" s="109"/>
      <c r="AT734" s="109"/>
      <c r="AU734" s="109"/>
    </row>
    <row r="735" spans="1:47" ht="14.25" customHeight="1" x14ac:dyDescent="0.3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  <c r="AD735" s="109"/>
      <c r="AE735" s="109"/>
      <c r="AF735" s="109"/>
      <c r="AG735" s="109"/>
      <c r="AH735" s="109"/>
      <c r="AI735" s="109"/>
      <c r="AJ735" s="109"/>
      <c r="AK735" s="109"/>
      <c r="AL735" s="109"/>
      <c r="AM735" s="109"/>
      <c r="AN735" s="109"/>
      <c r="AO735" s="109"/>
      <c r="AP735" s="109"/>
      <c r="AQ735" s="109"/>
      <c r="AR735" s="109"/>
      <c r="AS735" s="109"/>
      <c r="AT735" s="109"/>
      <c r="AU735" s="109"/>
    </row>
    <row r="736" spans="1:47" ht="14.25" customHeight="1" x14ac:dyDescent="0.3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  <c r="AL736" s="109"/>
      <c r="AM736" s="109"/>
      <c r="AN736" s="109"/>
      <c r="AO736" s="109"/>
      <c r="AP736" s="109"/>
      <c r="AQ736" s="109"/>
      <c r="AR736" s="109"/>
      <c r="AS736" s="109"/>
      <c r="AT736" s="109"/>
      <c r="AU736" s="109"/>
    </row>
    <row r="737" spans="1:47" ht="14.25" customHeight="1" x14ac:dyDescent="0.3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  <c r="AL737" s="109"/>
      <c r="AM737" s="109"/>
      <c r="AN737" s="109"/>
      <c r="AO737" s="109"/>
      <c r="AP737" s="109"/>
      <c r="AQ737" s="109"/>
      <c r="AR737" s="109"/>
      <c r="AS737" s="109"/>
      <c r="AT737" s="109"/>
      <c r="AU737" s="109"/>
    </row>
    <row r="738" spans="1:47" ht="14.25" customHeight="1" x14ac:dyDescent="0.3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  <c r="AL738" s="109"/>
      <c r="AM738" s="109"/>
      <c r="AN738" s="109"/>
      <c r="AO738" s="109"/>
      <c r="AP738" s="109"/>
      <c r="AQ738" s="109"/>
      <c r="AR738" s="109"/>
      <c r="AS738" s="109"/>
      <c r="AT738" s="109"/>
      <c r="AU738" s="109"/>
    </row>
    <row r="739" spans="1:47" ht="14.25" customHeight="1" x14ac:dyDescent="0.3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  <c r="AL739" s="109"/>
      <c r="AM739" s="109"/>
      <c r="AN739" s="109"/>
      <c r="AO739" s="109"/>
      <c r="AP739" s="109"/>
      <c r="AQ739" s="109"/>
      <c r="AR739" s="109"/>
      <c r="AS739" s="109"/>
      <c r="AT739" s="109"/>
      <c r="AU739" s="109"/>
    </row>
    <row r="740" spans="1:47" ht="14.25" customHeight="1" x14ac:dyDescent="0.3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  <c r="AL740" s="109"/>
      <c r="AM740" s="109"/>
      <c r="AN740" s="109"/>
      <c r="AO740" s="109"/>
      <c r="AP740" s="109"/>
      <c r="AQ740" s="109"/>
      <c r="AR740" s="109"/>
      <c r="AS740" s="109"/>
      <c r="AT740" s="109"/>
      <c r="AU740" s="109"/>
    </row>
    <row r="741" spans="1:47" ht="14.25" customHeight="1" x14ac:dyDescent="0.3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  <c r="AL741" s="109"/>
      <c r="AM741" s="109"/>
      <c r="AN741" s="109"/>
      <c r="AO741" s="109"/>
      <c r="AP741" s="109"/>
      <c r="AQ741" s="109"/>
      <c r="AR741" s="109"/>
      <c r="AS741" s="109"/>
      <c r="AT741" s="109"/>
      <c r="AU741" s="109"/>
    </row>
    <row r="742" spans="1:47" ht="14.25" customHeight="1" x14ac:dyDescent="0.3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  <c r="AL742" s="109"/>
      <c r="AM742" s="109"/>
      <c r="AN742" s="109"/>
      <c r="AO742" s="109"/>
      <c r="AP742" s="109"/>
      <c r="AQ742" s="109"/>
      <c r="AR742" s="109"/>
      <c r="AS742" s="109"/>
      <c r="AT742" s="109"/>
      <c r="AU742" s="109"/>
    </row>
    <row r="743" spans="1:47" ht="14.25" customHeight="1" x14ac:dyDescent="0.3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  <c r="AD743" s="109"/>
      <c r="AE743" s="109"/>
      <c r="AF743" s="109"/>
      <c r="AG743" s="109"/>
      <c r="AH743" s="109"/>
      <c r="AI743" s="109"/>
      <c r="AJ743" s="109"/>
      <c r="AK743" s="109"/>
      <c r="AL743" s="109"/>
      <c r="AM743" s="109"/>
      <c r="AN743" s="109"/>
      <c r="AO743" s="109"/>
      <c r="AP743" s="109"/>
      <c r="AQ743" s="109"/>
      <c r="AR743" s="109"/>
      <c r="AS743" s="109"/>
      <c r="AT743" s="109"/>
      <c r="AU743" s="109"/>
    </row>
    <row r="744" spans="1:47" ht="14.25" customHeight="1" x14ac:dyDescent="0.3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  <c r="AD744" s="109"/>
      <c r="AE744" s="109"/>
      <c r="AF744" s="109"/>
      <c r="AG744" s="109"/>
      <c r="AH744" s="109"/>
      <c r="AI744" s="109"/>
      <c r="AJ744" s="109"/>
      <c r="AK744" s="109"/>
      <c r="AL744" s="109"/>
      <c r="AM744" s="109"/>
      <c r="AN744" s="109"/>
      <c r="AO744" s="109"/>
      <c r="AP744" s="109"/>
      <c r="AQ744" s="109"/>
      <c r="AR744" s="109"/>
      <c r="AS744" s="109"/>
      <c r="AT744" s="109"/>
      <c r="AU744" s="109"/>
    </row>
    <row r="745" spans="1:47" ht="14.25" customHeight="1" x14ac:dyDescent="0.3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  <c r="AD745" s="109"/>
      <c r="AE745" s="109"/>
      <c r="AF745" s="109"/>
      <c r="AG745" s="109"/>
      <c r="AH745" s="109"/>
      <c r="AI745" s="109"/>
      <c r="AJ745" s="109"/>
      <c r="AK745" s="109"/>
      <c r="AL745" s="109"/>
      <c r="AM745" s="109"/>
      <c r="AN745" s="109"/>
      <c r="AO745" s="109"/>
      <c r="AP745" s="109"/>
      <c r="AQ745" s="109"/>
      <c r="AR745" s="109"/>
      <c r="AS745" s="109"/>
      <c r="AT745" s="109"/>
      <c r="AU745" s="109"/>
    </row>
    <row r="746" spans="1:47" ht="14.25" customHeight="1" x14ac:dyDescent="0.3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  <c r="AD746" s="109"/>
      <c r="AE746" s="109"/>
      <c r="AF746" s="109"/>
      <c r="AG746" s="109"/>
      <c r="AH746" s="109"/>
      <c r="AI746" s="109"/>
      <c r="AJ746" s="109"/>
      <c r="AK746" s="109"/>
      <c r="AL746" s="109"/>
      <c r="AM746" s="109"/>
      <c r="AN746" s="109"/>
      <c r="AO746" s="109"/>
      <c r="AP746" s="109"/>
      <c r="AQ746" s="109"/>
      <c r="AR746" s="109"/>
      <c r="AS746" s="109"/>
      <c r="AT746" s="109"/>
      <c r="AU746" s="109"/>
    </row>
    <row r="747" spans="1:47" ht="14.25" customHeight="1" x14ac:dyDescent="0.3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  <c r="AL747" s="109"/>
      <c r="AM747" s="109"/>
      <c r="AN747" s="109"/>
      <c r="AO747" s="109"/>
      <c r="AP747" s="109"/>
      <c r="AQ747" s="109"/>
      <c r="AR747" s="109"/>
      <c r="AS747" s="109"/>
      <c r="AT747" s="109"/>
      <c r="AU747" s="109"/>
    </row>
    <row r="748" spans="1:47" ht="14.25" customHeight="1" x14ac:dyDescent="0.3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  <c r="AD748" s="109"/>
      <c r="AE748" s="109"/>
      <c r="AF748" s="109"/>
      <c r="AG748" s="109"/>
      <c r="AH748" s="109"/>
      <c r="AI748" s="109"/>
      <c r="AJ748" s="109"/>
      <c r="AK748" s="109"/>
      <c r="AL748" s="109"/>
      <c r="AM748" s="109"/>
      <c r="AN748" s="109"/>
      <c r="AO748" s="109"/>
      <c r="AP748" s="109"/>
      <c r="AQ748" s="109"/>
      <c r="AR748" s="109"/>
      <c r="AS748" s="109"/>
      <c r="AT748" s="109"/>
      <c r="AU748" s="109"/>
    </row>
    <row r="749" spans="1:47" ht="14.25" customHeight="1" x14ac:dyDescent="0.3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  <c r="AD749" s="109"/>
      <c r="AE749" s="109"/>
      <c r="AF749" s="109"/>
      <c r="AG749" s="109"/>
      <c r="AH749" s="109"/>
      <c r="AI749" s="109"/>
      <c r="AJ749" s="109"/>
      <c r="AK749" s="109"/>
      <c r="AL749" s="109"/>
      <c r="AM749" s="109"/>
      <c r="AN749" s="109"/>
      <c r="AO749" s="109"/>
      <c r="AP749" s="109"/>
      <c r="AQ749" s="109"/>
      <c r="AR749" s="109"/>
      <c r="AS749" s="109"/>
      <c r="AT749" s="109"/>
      <c r="AU749" s="109"/>
    </row>
    <row r="750" spans="1:47" ht="14.25" customHeight="1" x14ac:dyDescent="0.3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  <c r="AD750" s="109"/>
      <c r="AE750" s="109"/>
      <c r="AF750" s="109"/>
      <c r="AG750" s="109"/>
      <c r="AH750" s="109"/>
      <c r="AI750" s="109"/>
      <c r="AJ750" s="109"/>
      <c r="AK750" s="109"/>
      <c r="AL750" s="109"/>
      <c r="AM750" s="109"/>
      <c r="AN750" s="109"/>
      <c r="AO750" s="109"/>
      <c r="AP750" s="109"/>
      <c r="AQ750" s="109"/>
      <c r="AR750" s="109"/>
      <c r="AS750" s="109"/>
      <c r="AT750" s="109"/>
      <c r="AU750" s="109"/>
    </row>
    <row r="751" spans="1:47" ht="14.25" customHeight="1" x14ac:dyDescent="0.3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  <c r="AD751" s="109"/>
      <c r="AE751" s="109"/>
      <c r="AF751" s="109"/>
      <c r="AG751" s="109"/>
      <c r="AH751" s="109"/>
      <c r="AI751" s="109"/>
      <c r="AJ751" s="109"/>
      <c r="AK751" s="109"/>
      <c r="AL751" s="109"/>
      <c r="AM751" s="109"/>
      <c r="AN751" s="109"/>
      <c r="AO751" s="109"/>
      <c r="AP751" s="109"/>
      <c r="AQ751" s="109"/>
      <c r="AR751" s="109"/>
      <c r="AS751" s="109"/>
      <c r="AT751" s="109"/>
      <c r="AU751" s="109"/>
    </row>
    <row r="752" spans="1:47" ht="14.25" customHeight="1" x14ac:dyDescent="0.3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09"/>
      <c r="AJ752" s="109"/>
      <c r="AK752" s="109"/>
      <c r="AL752" s="109"/>
      <c r="AM752" s="109"/>
      <c r="AN752" s="109"/>
      <c r="AO752" s="109"/>
      <c r="AP752" s="109"/>
      <c r="AQ752" s="109"/>
      <c r="AR752" s="109"/>
      <c r="AS752" s="109"/>
      <c r="AT752" s="109"/>
      <c r="AU752" s="109"/>
    </row>
    <row r="753" spans="1:47" ht="14.25" customHeight="1" x14ac:dyDescent="0.3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  <c r="AL753" s="109"/>
      <c r="AM753" s="109"/>
      <c r="AN753" s="109"/>
      <c r="AO753" s="109"/>
      <c r="AP753" s="109"/>
      <c r="AQ753" s="109"/>
      <c r="AR753" s="109"/>
      <c r="AS753" s="109"/>
      <c r="AT753" s="109"/>
      <c r="AU753" s="109"/>
    </row>
    <row r="754" spans="1:47" ht="14.25" customHeight="1" x14ac:dyDescent="0.3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  <c r="AD754" s="109"/>
      <c r="AE754" s="109"/>
      <c r="AF754" s="109"/>
      <c r="AG754" s="109"/>
      <c r="AH754" s="109"/>
      <c r="AI754" s="109"/>
      <c r="AJ754" s="109"/>
      <c r="AK754" s="109"/>
      <c r="AL754" s="109"/>
      <c r="AM754" s="109"/>
      <c r="AN754" s="109"/>
      <c r="AO754" s="109"/>
      <c r="AP754" s="109"/>
      <c r="AQ754" s="109"/>
      <c r="AR754" s="109"/>
      <c r="AS754" s="109"/>
      <c r="AT754" s="109"/>
      <c r="AU754" s="109"/>
    </row>
    <row r="755" spans="1:47" ht="14.25" customHeight="1" x14ac:dyDescent="0.3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  <c r="AL755" s="109"/>
      <c r="AM755" s="109"/>
      <c r="AN755" s="109"/>
      <c r="AO755" s="109"/>
      <c r="AP755" s="109"/>
      <c r="AQ755" s="109"/>
      <c r="AR755" s="109"/>
      <c r="AS755" s="109"/>
      <c r="AT755" s="109"/>
      <c r="AU755" s="109"/>
    </row>
    <row r="756" spans="1:47" ht="14.25" customHeight="1" x14ac:dyDescent="0.3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  <c r="AL756" s="109"/>
      <c r="AM756" s="109"/>
      <c r="AN756" s="109"/>
      <c r="AO756" s="109"/>
      <c r="AP756" s="109"/>
      <c r="AQ756" s="109"/>
      <c r="AR756" s="109"/>
      <c r="AS756" s="109"/>
      <c r="AT756" s="109"/>
      <c r="AU756" s="109"/>
    </row>
    <row r="757" spans="1:47" ht="14.25" customHeight="1" x14ac:dyDescent="0.3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09"/>
      <c r="AL757" s="109"/>
      <c r="AM757" s="109"/>
      <c r="AN757" s="109"/>
      <c r="AO757" s="109"/>
      <c r="AP757" s="109"/>
      <c r="AQ757" s="109"/>
      <c r="AR757" s="109"/>
      <c r="AS757" s="109"/>
      <c r="AT757" s="109"/>
      <c r="AU757" s="109"/>
    </row>
    <row r="758" spans="1:47" ht="14.25" customHeight="1" x14ac:dyDescent="0.3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  <c r="AD758" s="109"/>
      <c r="AE758" s="109"/>
      <c r="AF758" s="109"/>
      <c r="AG758" s="109"/>
      <c r="AH758" s="109"/>
      <c r="AI758" s="109"/>
      <c r="AJ758" s="109"/>
      <c r="AK758" s="109"/>
      <c r="AL758" s="109"/>
      <c r="AM758" s="109"/>
      <c r="AN758" s="109"/>
      <c r="AO758" s="109"/>
      <c r="AP758" s="109"/>
      <c r="AQ758" s="109"/>
      <c r="AR758" s="109"/>
      <c r="AS758" s="109"/>
      <c r="AT758" s="109"/>
      <c r="AU758" s="109"/>
    </row>
    <row r="759" spans="1:47" ht="14.25" customHeight="1" x14ac:dyDescent="0.3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  <c r="AD759" s="109"/>
      <c r="AE759" s="109"/>
      <c r="AF759" s="109"/>
      <c r="AG759" s="109"/>
      <c r="AH759" s="109"/>
      <c r="AI759" s="109"/>
      <c r="AJ759" s="109"/>
      <c r="AK759" s="109"/>
      <c r="AL759" s="109"/>
      <c r="AM759" s="109"/>
      <c r="AN759" s="109"/>
      <c r="AO759" s="109"/>
      <c r="AP759" s="109"/>
      <c r="AQ759" s="109"/>
      <c r="AR759" s="109"/>
      <c r="AS759" s="109"/>
      <c r="AT759" s="109"/>
      <c r="AU759" s="109"/>
    </row>
    <row r="760" spans="1:47" ht="14.25" customHeight="1" x14ac:dyDescent="0.3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  <c r="AD760" s="109"/>
      <c r="AE760" s="109"/>
      <c r="AF760" s="109"/>
      <c r="AG760" s="109"/>
      <c r="AH760" s="109"/>
      <c r="AI760" s="109"/>
      <c r="AJ760" s="109"/>
      <c r="AK760" s="109"/>
      <c r="AL760" s="109"/>
      <c r="AM760" s="109"/>
      <c r="AN760" s="109"/>
      <c r="AO760" s="109"/>
      <c r="AP760" s="109"/>
      <c r="AQ760" s="109"/>
      <c r="AR760" s="109"/>
      <c r="AS760" s="109"/>
      <c r="AT760" s="109"/>
      <c r="AU760" s="109"/>
    </row>
    <row r="761" spans="1:47" ht="14.25" customHeight="1" x14ac:dyDescent="0.3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  <c r="AD761" s="109"/>
      <c r="AE761" s="109"/>
      <c r="AF761" s="109"/>
      <c r="AG761" s="109"/>
      <c r="AH761" s="109"/>
      <c r="AI761" s="109"/>
      <c r="AJ761" s="109"/>
      <c r="AK761" s="109"/>
      <c r="AL761" s="109"/>
      <c r="AM761" s="109"/>
      <c r="AN761" s="109"/>
      <c r="AO761" s="109"/>
      <c r="AP761" s="109"/>
      <c r="AQ761" s="109"/>
      <c r="AR761" s="109"/>
      <c r="AS761" s="109"/>
      <c r="AT761" s="109"/>
      <c r="AU761" s="109"/>
    </row>
    <row r="762" spans="1:47" ht="14.25" customHeight="1" x14ac:dyDescent="0.3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  <c r="AD762" s="109"/>
      <c r="AE762" s="109"/>
      <c r="AF762" s="109"/>
      <c r="AG762" s="109"/>
      <c r="AH762" s="109"/>
      <c r="AI762" s="109"/>
      <c r="AJ762" s="109"/>
      <c r="AK762" s="109"/>
      <c r="AL762" s="109"/>
      <c r="AM762" s="109"/>
      <c r="AN762" s="109"/>
      <c r="AO762" s="109"/>
      <c r="AP762" s="109"/>
      <c r="AQ762" s="109"/>
      <c r="AR762" s="109"/>
      <c r="AS762" s="109"/>
      <c r="AT762" s="109"/>
      <c r="AU762" s="109"/>
    </row>
    <row r="763" spans="1:47" ht="14.25" customHeight="1" x14ac:dyDescent="0.3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  <c r="AL763" s="109"/>
      <c r="AM763" s="109"/>
      <c r="AN763" s="109"/>
      <c r="AO763" s="109"/>
      <c r="AP763" s="109"/>
      <c r="AQ763" s="109"/>
      <c r="AR763" s="109"/>
      <c r="AS763" s="109"/>
      <c r="AT763" s="109"/>
      <c r="AU763" s="109"/>
    </row>
    <row r="764" spans="1:47" ht="14.25" customHeight="1" x14ac:dyDescent="0.3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  <c r="AL764" s="109"/>
      <c r="AM764" s="109"/>
      <c r="AN764" s="109"/>
      <c r="AO764" s="109"/>
      <c r="AP764" s="109"/>
      <c r="AQ764" s="109"/>
      <c r="AR764" s="109"/>
      <c r="AS764" s="109"/>
      <c r="AT764" s="109"/>
      <c r="AU764" s="109"/>
    </row>
    <row r="765" spans="1:47" ht="14.25" customHeight="1" x14ac:dyDescent="0.3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  <c r="AD765" s="109"/>
      <c r="AE765" s="109"/>
      <c r="AF765" s="109"/>
      <c r="AG765" s="109"/>
      <c r="AH765" s="109"/>
      <c r="AI765" s="109"/>
      <c r="AJ765" s="109"/>
      <c r="AK765" s="109"/>
      <c r="AL765" s="109"/>
      <c r="AM765" s="109"/>
      <c r="AN765" s="109"/>
      <c r="AO765" s="109"/>
      <c r="AP765" s="109"/>
      <c r="AQ765" s="109"/>
      <c r="AR765" s="109"/>
      <c r="AS765" s="109"/>
      <c r="AT765" s="109"/>
      <c r="AU765" s="109"/>
    </row>
    <row r="766" spans="1:47" ht="14.25" customHeight="1" x14ac:dyDescent="0.3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  <c r="AD766" s="109"/>
      <c r="AE766" s="109"/>
      <c r="AF766" s="109"/>
      <c r="AG766" s="109"/>
      <c r="AH766" s="109"/>
      <c r="AI766" s="109"/>
      <c r="AJ766" s="109"/>
      <c r="AK766" s="109"/>
      <c r="AL766" s="109"/>
      <c r="AM766" s="109"/>
      <c r="AN766" s="109"/>
      <c r="AO766" s="109"/>
      <c r="AP766" s="109"/>
      <c r="AQ766" s="109"/>
      <c r="AR766" s="109"/>
      <c r="AS766" s="109"/>
      <c r="AT766" s="109"/>
      <c r="AU766" s="109"/>
    </row>
    <row r="767" spans="1:47" ht="14.25" customHeight="1" x14ac:dyDescent="0.3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  <c r="AD767" s="109"/>
      <c r="AE767" s="109"/>
      <c r="AF767" s="109"/>
      <c r="AG767" s="109"/>
      <c r="AH767" s="109"/>
      <c r="AI767" s="109"/>
      <c r="AJ767" s="109"/>
      <c r="AK767" s="109"/>
      <c r="AL767" s="109"/>
      <c r="AM767" s="109"/>
      <c r="AN767" s="109"/>
      <c r="AO767" s="109"/>
      <c r="AP767" s="109"/>
      <c r="AQ767" s="109"/>
      <c r="AR767" s="109"/>
      <c r="AS767" s="109"/>
      <c r="AT767" s="109"/>
      <c r="AU767" s="109"/>
    </row>
    <row r="768" spans="1:47" ht="14.25" customHeight="1" x14ac:dyDescent="0.3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  <c r="AD768" s="109"/>
      <c r="AE768" s="109"/>
      <c r="AF768" s="109"/>
      <c r="AG768" s="109"/>
      <c r="AH768" s="109"/>
      <c r="AI768" s="109"/>
      <c r="AJ768" s="109"/>
      <c r="AK768" s="109"/>
      <c r="AL768" s="109"/>
      <c r="AM768" s="109"/>
      <c r="AN768" s="109"/>
      <c r="AO768" s="109"/>
      <c r="AP768" s="109"/>
      <c r="AQ768" s="109"/>
      <c r="AR768" s="109"/>
      <c r="AS768" s="109"/>
      <c r="AT768" s="109"/>
      <c r="AU768" s="109"/>
    </row>
    <row r="769" spans="1:47" ht="14.25" customHeight="1" x14ac:dyDescent="0.3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  <c r="AD769" s="109"/>
      <c r="AE769" s="109"/>
      <c r="AF769" s="109"/>
      <c r="AG769" s="109"/>
      <c r="AH769" s="109"/>
      <c r="AI769" s="109"/>
      <c r="AJ769" s="109"/>
      <c r="AK769" s="109"/>
      <c r="AL769" s="109"/>
      <c r="AM769" s="109"/>
      <c r="AN769" s="109"/>
      <c r="AO769" s="109"/>
      <c r="AP769" s="109"/>
      <c r="AQ769" s="109"/>
      <c r="AR769" s="109"/>
      <c r="AS769" s="109"/>
      <c r="AT769" s="109"/>
      <c r="AU769" s="109"/>
    </row>
    <row r="770" spans="1:47" ht="14.25" customHeight="1" x14ac:dyDescent="0.3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  <c r="AD770" s="109"/>
      <c r="AE770" s="109"/>
      <c r="AF770" s="109"/>
      <c r="AG770" s="109"/>
      <c r="AH770" s="109"/>
      <c r="AI770" s="109"/>
      <c r="AJ770" s="109"/>
      <c r="AK770" s="109"/>
      <c r="AL770" s="109"/>
      <c r="AM770" s="109"/>
      <c r="AN770" s="109"/>
      <c r="AO770" s="109"/>
      <c r="AP770" s="109"/>
      <c r="AQ770" s="109"/>
      <c r="AR770" s="109"/>
      <c r="AS770" s="109"/>
      <c r="AT770" s="109"/>
      <c r="AU770" s="109"/>
    </row>
    <row r="771" spans="1:47" ht="14.25" customHeight="1" x14ac:dyDescent="0.3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  <c r="AD771" s="109"/>
      <c r="AE771" s="109"/>
      <c r="AF771" s="109"/>
      <c r="AG771" s="109"/>
      <c r="AH771" s="109"/>
      <c r="AI771" s="109"/>
      <c r="AJ771" s="109"/>
      <c r="AK771" s="109"/>
      <c r="AL771" s="109"/>
      <c r="AM771" s="109"/>
      <c r="AN771" s="109"/>
      <c r="AO771" s="109"/>
      <c r="AP771" s="109"/>
      <c r="AQ771" s="109"/>
      <c r="AR771" s="109"/>
      <c r="AS771" s="109"/>
      <c r="AT771" s="109"/>
      <c r="AU771" s="109"/>
    </row>
    <row r="772" spans="1:47" ht="14.25" customHeight="1" x14ac:dyDescent="0.3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  <c r="AD772" s="109"/>
      <c r="AE772" s="109"/>
      <c r="AF772" s="109"/>
      <c r="AG772" s="109"/>
      <c r="AH772" s="109"/>
      <c r="AI772" s="109"/>
      <c r="AJ772" s="109"/>
      <c r="AK772" s="109"/>
      <c r="AL772" s="109"/>
      <c r="AM772" s="109"/>
      <c r="AN772" s="109"/>
      <c r="AO772" s="109"/>
      <c r="AP772" s="109"/>
      <c r="AQ772" s="109"/>
      <c r="AR772" s="109"/>
      <c r="AS772" s="109"/>
      <c r="AT772" s="109"/>
      <c r="AU772" s="109"/>
    </row>
    <row r="773" spans="1:47" ht="14.25" customHeight="1" x14ac:dyDescent="0.3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  <c r="AD773" s="109"/>
      <c r="AE773" s="109"/>
      <c r="AF773" s="109"/>
      <c r="AG773" s="109"/>
      <c r="AH773" s="109"/>
      <c r="AI773" s="109"/>
      <c r="AJ773" s="109"/>
      <c r="AK773" s="109"/>
      <c r="AL773" s="109"/>
      <c r="AM773" s="109"/>
      <c r="AN773" s="109"/>
      <c r="AO773" s="109"/>
      <c r="AP773" s="109"/>
      <c r="AQ773" s="109"/>
      <c r="AR773" s="109"/>
      <c r="AS773" s="109"/>
      <c r="AT773" s="109"/>
      <c r="AU773" s="109"/>
    </row>
    <row r="774" spans="1:47" ht="14.25" customHeight="1" x14ac:dyDescent="0.3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09"/>
      <c r="AJ774" s="109"/>
      <c r="AK774" s="109"/>
      <c r="AL774" s="109"/>
      <c r="AM774" s="109"/>
      <c r="AN774" s="109"/>
      <c r="AO774" s="109"/>
      <c r="AP774" s="109"/>
      <c r="AQ774" s="109"/>
      <c r="AR774" s="109"/>
      <c r="AS774" s="109"/>
      <c r="AT774" s="109"/>
      <c r="AU774" s="109"/>
    </row>
    <row r="775" spans="1:47" ht="14.25" customHeight="1" x14ac:dyDescent="0.3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  <c r="AD775" s="109"/>
      <c r="AE775" s="109"/>
      <c r="AF775" s="109"/>
      <c r="AG775" s="109"/>
      <c r="AH775" s="109"/>
      <c r="AI775" s="109"/>
      <c r="AJ775" s="109"/>
      <c r="AK775" s="109"/>
      <c r="AL775" s="109"/>
      <c r="AM775" s="109"/>
      <c r="AN775" s="109"/>
      <c r="AO775" s="109"/>
      <c r="AP775" s="109"/>
      <c r="AQ775" s="109"/>
      <c r="AR775" s="109"/>
      <c r="AS775" s="109"/>
      <c r="AT775" s="109"/>
      <c r="AU775" s="109"/>
    </row>
    <row r="776" spans="1:47" ht="14.25" customHeight="1" x14ac:dyDescent="0.3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  <c r="AD776" s="109"/>
      <c r="AE776" s="109"/>
      <c r="AF776" s="109"/>
      <c r="AG776" s="109"/>
      <c r="AH776" s="109"/>
      <c r="AI776" s="109"/>
      <c r="AJ776" s="109"/>
      <c r="AK776" s="109"/>
      <c r="AL776" s="109"/>
      <c r="AM776" s="109"/>
      <c r="AN776" s="109"/>
      <c r="AO776" s="109"/>
      <c r="AP776" s="109"/>
      <c r="AQ776" s="109"/>
      <c r="AR776" s="109"/>
      <c r="AS776" s="109"/>
      <c r="AT776" s="109"/>
      <c r="AU776" s="109"/>
    </row>
    <row r="777" spans="1:47" ht="14.25" customHeight="1" x14ac:dyDescent="0.3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09"/>
      <c r="AI777" s="109"/>
      <c r="AJ777" s="109"/>
      <c r="AK777" s="109"/>
      <c r="AL777" s="109"/>
      <c r="AM777" s="109"/>
      <c r="AN777" s="109"/>
      <c r="AO777" s="109"/>
      <c r="AP777" s="109"/>
      <c r="AQ777" s="109"/>
      <c r="AR777" s="109"/>
      <c r="AS777" s="109"/>
      <c r="AT777" s="109"/>
      <c r="AU777" s="109"/>
    </row>
    <row r="778" spans="1:47" ht="14.25" customHeight="1" x14ac:dyDescent="0.3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  <c r="AL778" s="109"/>
      <c r="AM778" s="109"/>
      <c r="AN778" s="109"/>
      <c r="AO778" s="109"/>
      <c r="AP778" s="109"/>
      <c r="AQ778" s="109"/>
      <c r="AR778" s="109"/>
      <c r="AS778" s="109"/>
      <c r="AT778" s="109"/>
      <c r="AU778" s="109"/>
    </row>
    <row r="779" spans="1:47" ht="14.25" customHeight="1" x14ac:dyDescent="0.3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09"/>
      <c r="AI779" s="109"/>
      <c r="AJ779" s="109"/>
      <c r="AK779" s="109"/>
      <c r="AL779" s="109"/>
      <c r="AM779" s="109"/>
      <c r="AN779" s="109"/>
      <c r="AO779" s="109"/>
      <c r="AP779" s="109"/>
      <c r="AQ779" s="109"/>
      <c r="AR779" s="109"/>
      <c r="AS779" s="109"/>
      <c r="AT779" s="109"/>
      <c r="AU779" s="109"/>
    </row>
    <row r="780" spans="1:47" ht="14.25" customHeight="1" x14ac:dyDescent="0.3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09"/>
      <c r="AI780" s="109"/>
      <c r="AJ780" s="109"/>
      <c r="AK780" s="109"/>
      <c r="AL780" s="109"/>
      <c r="AM780" s="109"/>
      <c r="AN780" s="109"/>
      <c r="AO780" s="109"/>
      <c r="AP780" s="109"/>
      <c r="AQ780" s="109"/>
      <c r="AR780" s="109"/>
      <c r="AS780" s="109"/>
      <c r="AT780" s="109"/>
      <c r="AU780" s="109"/>
    </row>
    <row r="781" spans="1:47" ht="14.25" customHeight="1" x14ac:dyDescent="0.3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09"/>
      <c r="AI781" s="109"/>
      <c r="AJ781" s="109"/>
      <c r="AK781" s="109"/>
      <c r="AL781" s="109"/>
      <c r="AM781" s="109"/>
      <c r="AN781" s="109"/>
      <c r="AO781" s="109"/>
      <c r="AP781" s="109"/>
      <c r="AQ781" s="109"/>
      <c r="AR781" s="109"/>
      <c r="AS781" s="109"/>
      <c r="AT781" s="109"/>
      <c r="AU781" s="109"/>
    </row>
    <row r="782" spans="1:47" ht="14.25" customHeight="1" x14ac:dyDescent="0.3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09"/>
      <c r="AI782" s="109"/>
      <c r="AJ782" s="109"/>
      <c r="AK782" s="109"/>
      <c r="AL782" s="109"/>
      <c r="AM782" s="109"/>
      <c r="AN782" s="109"/>
      <c r="AO782" s="109"/>
      <c r="AP782" s="109"/>
      <c r="AQ782" s="109"/>
      <c r="AR782" s="109"/>
      <c r="AS782" s="109"/>
      <c r="AT782" s="109"/>
      <c r="AU782" s="109"/>
    </row>
    <row r="783" spans="1:47" ht="14.25" customHeight="1" x14ac:dyDescent="0.3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09"/>
      <c r="AI783" s="109"/>
      <c r="AJ783" s="109"/>
      <c r="AK783" s="109"/>
      <c r="AL783" s="109"/>
      <c r="AM783" s="109"/>
      <c r="AN783" s="109"/>
      <c r="AO783" s="109"/>
      <c r="AP783" s="109"/>
      <c r="AQ783" s="109"/>
      <c r="AR783" s="109"/>
      <c r="AS783" s="109"/>
      <c r="AT783" s="109"/>
      <c r="AU783" s="109"/>
    </row>
    <row r="784" spans="1:47" ht="14.25" customHeight="1" x14ac:dyDescent="0.3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  <c r="AL784" s="109"/>
      <c r="AM784" s="109"/>
      <c r="AN784" s="109"/>
      <c r="AO784" s="109"/>
      <c r="AP784" s="109"/>
      <c r="AQ784" s="109"/>
      <c r="AR784" s="109"/>
      <c r="AS784" s="109"/>
      <c r="AT784" s="109"/>
      <c r="AU784" s="109"/>
    </row>
    <row r="785" spans="1:47" ht="14.25" customHeight="1" x14ac:dyDescent="0.3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  <c r="AL785" s="109"/>
      <c r="AM785" s="109"/>
      <c r="AN785" s="109"/>
      <c r="AO785" s="109"/>
      <c r="AP785" s="109"/>
      <c r="AQ785" s="109"/>
      <c r="AR785" s="109"/>
      <c r="AS785" s="109"/>
      <c r="AT785" s="109"/>
      <c r="AU785" s="109"/>
    </row>
    <row r="786" spans="1:47" ht="14.25" customHeight="1" x14ac:dyDescent="0.3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  <c r="AL786" s="109"/>
      <c r="AM786" s="109"/>
      <c r="AN786" s="109"/>
      <c r="AO786" s="109"/>
      <c r="AP786" s="109"/>
      <c r="AQ786" s="109"/>
      <c r="AR786" s="109"/>
      <c r="AS786" s="109"/>
      <c r="AT786" s="109"/>
      <c r="AU786" s="109"/>
    </row>
    <row r="787" spans="1:47" ht="14.25" customHeight="1" x14ac:dyDescent="0.3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  <c r="AL787" s="109"/>
      <c r="AM787" s="109"/>
      <c r="AN787" s="109"/>
      <c r="AO787" s="109"/>
      <c r="AP787" s="109"/>
      <c r="AQ787" s="109"/>
      <c r="AR787" s="109"/>
      <c r="AS787" s="109"/>
      <c r="AT787" s="109"/>
      <c r="AU787" s="109"/>
    </row>
    <row r="788" spans="1:47" ht="14.25" customHeight="1" x14ac:dyDescent="0.3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  <c r="AL788" s="109"/>
      <c r="AM788" s="109"/>
      <c r="AN788" s="109"/>
      <c r="AO788" s="109"/>
      <c r="AP788" s="109"/>
      <c r="AQ788" s="109"/>
      <c r="AR788" s="109"/>
      <c r="AS788" s="109"/>
      <c r="AT788" s="109"/>
      <c r="AU788" s="109"/>
    </row>
    <row r="789" spans="1:47" ht="14.25" customHeight="1" x14ac:dyDescent="0.3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  <c r="AL789" s="109"/>
      <c r="AM789" s="109"/>
      <c r="AN789" s="109"/>
      <c r="AO789" s="109"/>
      <c r="AP789" s="109"/>
      <c r="AQ789" s="109"/>
      <c r="AR789" s="109"/>
      <c r="AS789" s="109"/>
      <c r="AT789" s="109"/>
      <c r="AU789" s="109"/>
    </row>
    <row r="790" spans="1:47" ht="14.25" customHeight="1" x14ac:dyDescent="0.3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  <c r="AL790" s="109"/>
      <c r="AM790" s="109"/>
      <c r="AN790" s="109"/>
      <c r="AO790" s="109"/>
      <c r="AP790" s="109"/>
      <c r="AQ790" s="109"/>
      <c r="AR790" s="109"/>
      <c r="AS790" s="109"/>
      <c r="AT790" s="109"/>
      <c r="AU790" s="109"/>
    </row>
    <row r="791" spans="1:47" ht="14.25" customHeight="1" x14ac:dyDescent="0.3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  <c r="AL791" s="109"/>
      <c r="AM791" s="109"/>
      <c r="AN791" s="109"/>
      <c r="AO791" s="109"/>
      <c r="AP791" s="109"/>
      <c r="AQ791" s="109"/>
      <c r="AR791" s="109"/>
      <c r="AS791" s="109"/>
      <c r="AT791" s="109"/>
      <c r="AU791" s="109"/>
    </row>
    <row r="792" spans="1:47" ht="14.25" customHeight="1" x14ac:dyDescent="0.3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  <c r="AL792" s="109"/>
      <c r="AM792" s="109"/>
      <c r="AN792" s="109"/>
      <c r="AO792" s="109"/>
      <c r="AP792" s="109"/>
      <c r="AQ792" s="109"/>
      <c r="AR792" s="109"/>
      <c r="AS792" s="109"/>
      <c r="AT792" s="109"/>
      <c r="AU792" s="109"/>
    </row>
    <row r="793" spans="1:47" ht="14.25" customHeight="1" x14ac:dyDescent="0.3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09"/>
      <c r="AI793" s="109"/>
      <c r="AJ793" s="109"/>
      <c r="AK793" s="109"/>
      <c r="AL793" s="109"/>
      <c r="AM793" s="109"/>
      <c r="AN793" s="109"/>
      <c r="AO793" s="109"/>
      <c r="AP793" s="109"/>
      <c r="AQ793" s="109"/>
      <c r="AR793" s="109"/>
      <c r="AS793" s="109"/>
      <c r="AT793" s="109"/>
      <c r="AU793" s="109"/>
    </row>
    <row r="794" spans="1:47" ht="14.25" customHeight="1" x14ac:dyDescent="0.3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09"/>
      <c r="AI794" s="109"/>
      <c r="AJ794" s="109"/>
      <c r="AK794" s="109"/>
      <c r="AL794" s="109"/>
      <c r="AM794" s="109"/>
      <c r="AN794" s="109"/>
      <c r="AO794" s="109"/>
      <c r="AP794" s="109"/>
      <c r="AQ794" s="109"/>
      <c r="AR794" s="109"/>
      <c r="AS794" s="109"/>
      <c r="AT794" s="109"/>
      <c r="AU794" s="109"/>
    </row>
    <row r="795" spans="1:47" ht="14.25" customHeight="1" x14ac:dyDescent="0.3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09"/>
      <c r="AI795" s="109"/>
      <c r="AJ795" s="109"/>
      <c r="AK795" s="109"/>
      <c r="AL795" s="109"/>
      <c r="AM795" s="109"/>
      <c r="AN795" s="109"/>
      <c r="AO795" s="109"/>
      <c r="AP795" s="109"/>
      <c r="AQ795" s="109"/>
      <c r="AR795" s="109"/>
      <c r="AS795" s="109"/>
      <c r="AT795" s="109"/>
      <c r="AU795" s="109"/>
    </row>
    <row r="796" spans="1:47" ht="14.25" customHeight="1" x14ac:dyDescent="0.3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09"/>
      <c r="AI796" s="109"/>
      <c r="AJ796" s="109"/>
      <c r="AK796" s="109"/>
      <c r="AL796" s="109"/>
      <c r="AM796" s="109"/>
      <c r="AN796" s="109"/>
      <c r="AO796" s="109"/>
      <c r="AP796" s="109"/>
      <c r="AQ796" s="109"/>
      <c r="AR796" s="109"/>
      <c r="AS796" s="109"/>
      <c r="AT796" s="109"/>
      <c r="AU796" s="109"/>
    </row>
    <row r="797" spans="1:47" ht="14.25" customHeight="1" x14ac:dyDescent="0.3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09"/>
      <c r="AH797" s="109"/>
      <c r="AI797" s="109"/>
      <c r="AJ797" s="109"/>
      <c r="AK797" s="109"/>
      <c r="AL797" s="109"/>
      <c r="AM797" s="109"/>
      <c r="AN797" s="109"/>
      <c r="AO797" s="109"/>
      <c r="AP797" s="109"/>
      <c r="AQ797" s="109"/>
      <c r="AR797" s="109"/>
      <c r="AS797" s="109"/>
      <c r="AT797" s="109"/>
      <c r="AU797" s="109"/>
    </row>
    <row r="798" spans="1:47" ht="14.25" customHeight="1" x14ac:dyDescent="0.3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09"/>
      <c r="AJ798" s="109"/>
      <c r="AK798" s="109"/>
      <c r="AL798" s="109"/>
      <c r="AM798" s="109"/>
      <c r="AN798" s="109"/>
      <c r="AO798" s="109"/>
      <c r="AP798" s="109"/>
      <c r="AQ798" s="109"/>
      <c r="AR798" s="109"/>
      <c r="AS798" s="109"/>
      <c r="AT798" s="109"/>
      <c r="AU798" s="109"/>
    </row>
    <row r="799" spans="1:47" ht="14.25" customHeight="1" x14ac:dyDescent="0.3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  <c r="AL799" s="109"/>
      <c r="AM799" s="109"/>
      <c r="AN799" s="109"/>
      <c r="AO799" s="109"/>
      <c r="AP799" s="109"/>
      <c r="AQ799" s="109"/>
      <c r="AR799" s="109"/>
      <c r="AS799" s="109"/>
      <c r="AT799" s="109"/>
      <c r="AU799" s="109"/>
    </row>
    <row r="800" spans="1:47" ht="14.25" customHeight="1" x14ac:dyDescent="0.3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  <c r="AL800" s="109"/>
      <c r="AM800" s="109"/>
      <c r="AN800" s="109"/>
      <c r="AO800" s="109"/>
      <c r="AP800" s="109"/>
      <c r="AQ800" s="109"/>
      <c r="AR800" s="109"/>
      <c r="AS800" s="109"/>
      <c r="AT800" s="109"/>
      <c r="AU800" s="109"/>
    </row>
    <row r="801" spans="1:47" ht="14.25" customHeight="1" x14ac:dyDescent="0.3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  <c r="AL801" s="109"/>
      <c r="AM801" s="109"/>
      <c r="AN801" s="109"/>
      <c r="AO801" s="109"/>
      <c r="AP801" s="109"/>
      <c r="AQ801" s="109"/>
      <c r="AR801" s="109"/>
      <c r="AS801" s="109"/>
      <c r="AT801" s="109"/>
      <c r="AU801" s="109"/>
    </row>
    <row r="802" spans="1:47" ht="14.25" customHeight="1" x14ac:dyDescent="0.3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  <c r="AL802" s="109"/>
      <c r="AM802" s="109"/>
      <c r="AN802" s="109"/>
      <c r="AO802" s="109"/>
      <c r="AP802" s="109"/>
      <c r="AQ802" s="109"/>
      <c r="AR802" s="109"/>
      <c r="AS802" s="109"/>
      <c r="AT802" s="109"/>
      <c r="AU802" s="109"/>
    </row>
    <row r="803" spans="1:47" ht="14.25" customHeight="1" x14ac:dyDescent="0.3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  <c r="AL803" s="109"/>
      <c r="AM803" s="109"/>
      <c r="AN803" s="109"/>
      <c r="AO803" s="109"/>
      <c r="AP803" s="109"/>
      <c r="AQ803" s="109"/>
      <c r="AR803" s="109"/>
      <c r="AS803" s="109"/>
      <c r="AT803" s="109"/>
      <c r="AU803" s="109"/>
    </row>
    <row r="804" spans="1:47" ht="14.25" customHeight="1" x14ac:dyDescent="0.3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  <c r="AL804" s="109"/>
      <c r="AM804" s="109"/>
      <c r="AN804" s="109"/>
      <c r="AO804" s="109"/>
      <c r="AP804" s="109"/>
      <c r="AQ804" s="109"/>
      <c r="AR804" s="109"/>
      <c r="AS804" s="109"/>
      <c r="AT804" s="109"/>
      <c r="AU804" s="109"/>
    </row>
    <row r="805" spans="1:47" ht="14.25" customHeight="1" x14ac:dyDescent="0.3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  <c r="AO805" s="109"/>
      <c r="AP805" s="109"/>
      <c r="AQ805" s="109"/>
      <c r="AR805" s="109"/>
      <c r="AS805" s="109"/>
      <c r="AT805" s="109"/>
      <c r="AU805" s="109"/>
    </row>
    <row r="806" spans="1:47" ht="14.25" customHeight="1" x14ac:dyDescent="0.3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  <c r="AO806" s="109"/>
      <c r="AP806" s="109"/>
      <c r="AQ806" s="109"/>
      <c r="AR806" s="109"/>
      <c r="AS806" s="109"/>
      <c r="AT806" s="109"/>
      <c r="AU806" s="109"/>
    </row>
    <row r="807" spans="1:47" ht="14.25" customHeight="1" x14ac:dyDescent="0.3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  <c r="AO807" s="109"/>
      <c r="AP807" s="109"/>
      <c r="AQ807" s="109"/>
      <c r="AR807" s="109"/>
      <c r="AS807" s="109"/>
      <c r="AT807" s="109"/>
      <c r="AU807" s="109"/>
    </row>
    <row r="808" spans="1:47" ht="14.25" customHeight="1" x14ac:dyDescent="0.3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  <c r="AL808" s="109"/>
      <c r="AM808" s="109"/>
      <c r="AN808" s="109"/>
      <c r="AO808" s="109"/>
      <c r="AP808" s="109"/>
      <c r="AQ808" s="109"/>
      <c r="AR808" s="109"/>
      <c r="AS808" s="109"/>
      <c r="AT808" s="109"/>
      <c r="AU808" s="109"/>
    </row>
    <row r="809" spans="1:47" ht="14.25" customHeight="1" x14ac:dyDescent="0.3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  <c r="AL809" s="109"/>
      <c r="AM809" s="109"/>
      <c r="AN809" s="109"/>
      <c r="AO809" s="109"/>
      <c r="AP809" s="109"/>
      <c r="AQ809" s="109"/>
      <c r="AR809" s="109"/>
      <c r="AS809" s="109"/>
      <c r="AT809" s="109"/>
      <c r="AU809" s="109"/>
    </row>
    <row r="810" spans="1:47" ht="14.25" customHeight="1" x14ac:dyDescent="0.3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  <c r="AL810" s="109"/>
      <c r="AM810" s="109"/>
      <c r="AN810" s="109"/>
      <c r="AO810" s="109"/>
      <c r="AP810" s="109"/>
      <c r="AQ810" s="109"/>
      <c r="AR810" s="109"/>
      <c r="AS810" s="109"/>
      <c r="AT810" s="109"/>
      <c r="AU810" s="109"/>
    </row>
    <row r="811" spans="1:47" ht="14.25" customHeight="1" x14ac:dyDescent="0.3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  <c r="AL811" s="109"/>
      <c r="AM811" s="109"/>
      <c r="AN811" s="109"/>
      <c r="AO811" s="109"/>
      <c r="AP811" s="109"/>
      <c r="AQ811" s="109"/>
      <c r="AR811" s="109"/>
      <c r="AS811" s="109"/>
      <c r="AT811" s="109"/>
      <c r="AU811" s="109"/>
    </row>
    <row r="812" spans="1:47" ht="14.25" customHeight="1" x14ac:dyDescent="0.3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  <c r="AL812" s="109"/>
      <c r="AM812" s="109"/>
      <c r="AN812" s="109"/>
      <c r="AO812" s="109"/>
      <c r="AP812" s="109"/>
      <c r="AQ812" s="109"/>
      <c r="AR812" s="109"/>
      <c r="AS812" s="109"/>
      <c r="AT812" s="109"/>
      <c r="AU812" s="109"/>
    </row>
    <row r="813" spans="1:47" ht="14.25" customHeight="1" x14ac:dyDescent="0.3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  <c r="AL813" s="109"/>
      <c r="AM813" s="109"/>
      <c r="AN813" s="109"/>
      <c r="AO813" s="109"/>
      <c r="AP813" s="109"/>
      <c r="AQ813" s="109"/>
      <c r="AR813" s="109"/>
      <c r="AS813" s="109"/>
      <c r="AT813" s="109"/>
      <c r="AU813" s="109"/>
    </row>
    <row r="814" spans="1:47" ht="14.25" customHeight="1" x14ac:dyDescent="0.3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  <c r="AL814" s="109"/>
      <c r="AM814" s="109"/>
      <c r="AN814" s="109"/>
      <c r="AO814" s="109"/>
      <c r="AP814" s="109"/>
      <c r="AQ814" s="109"/>
      <c r="AR814" s="109"/>
      <c r="AS814" s="109"/>
      <c r="AT814" s="109"/>
      <c r="AU814" s="109"/>
    </row>
    <row r="815" spans="1:47" ht="14.25" customHeight="1" x14ac:dyDescent="0.3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  <c r="AL815" s="109"/>
      <c r="AM815" s="109"/>
      <c r="AN815" s="109"/>
      <c r="AO815" s="109"/>
      <c r="AP815" s="109"/>
      <c r="AQ815" s="109"/>
      <c r="AR815" s="109"/>
      <c r="AS815" s="109"/>
      <c r="AT815" s="109"/>
      <c r="AU815" s="109"/>
    </row>
    <row r="816" spans="1:47" ht="14.25" customHeight="1" x14ac:dyDescent="0.3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  <c r="AL816" s="109"/>
      <c r="AM816" s="109"/>
      <c r="AN816" s="109"/>
      <c r="AO816" s="109"/>
      <c r="AP816" s="109"/>
      <c r="AQ816" s="109"/>
      <c r="AR816" s="109"/>
      <c r="AS816" s="109"/>
      <c r="AT816" s="109"/>
      <c r="AU816" s="109"/>
    </row>
    <row r="817" spans="1:47" ht="14.25" customHeight="1" x14ac:dyDescent="0.3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  <c r="AD817" s="109"/>
      <c r="AE817" s="109"/>
      <c r="AF817" s="109"/>
      <c r="AG817" s="109"/>
      <c r="AH817" s="109"/>
      <c r="AI817" s="109"/>
      <c r="AJ817" s="109"/>
      <c r="AK817" s="109"/>
      <c r="AL817" s="109"/>
      <c r="AM817" s="109"/>
      <c r="AN817" s="109"/>
      <c r="AO817" s="109"/>
      <c r="AP817" s="109"/>
      <c r="AQ817" s="109"/>
      <c r="AR817" s="109"/>
      <c r="AS817" s="109"/>
      <c r="AT817" s="109"/>
      <c r="AU817" s="109"/>
    </row>
    <row r="818" spans="1:47" ht="14.25" customHeight="1" x14ac:dyDescent="0.3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  <c r="AD818" s="109"/>
      <c r="AE818" s="109"/>
      <c r="AF818" s="109"/>
      <c r="AG818" s="109"/>
      <c r="AH818" s="109"/>
      <c r="AI818" s="109"/>
      <c r="AJ818" s="109"/>
      <c r="AK818" s="109"/>
      <c r="AL818" s="109"/>
      <c r="AM818" s="109"/>
      <c r="AN818" s="109"/>
      <c r="AO818" s="109"/>
      <c r="AP818" s="109"/>
      <c r="AQ818" s="109"/>
      <c r="AR818" s="109"/>
      <c r="AS818" s="109"/>
      <c r="AT818" s="109"/>
      <c r="AU818" s="109"/>
    </row>
    <row r="819" spans="1:47" ht="14.25" customHeight="1" x14ac:dyDescent="0.3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  <c r="AL819" s="109"/>
      <c r="AM819" s="109"/>
      <c r="AN819" s="109"/>
      <c r="AO819" s="109"/>
      <c r="AP819" s="109"/>
      <c r="AQ819" s="109"/>
      <c r="AR819" s="109"/>
      <c r="AS819" s="109"/>
      <c r="AT819" s="109"/>
      <c r="AU819" s="109"/>
    </row>
    <row r="820" spans="1:47" ht="14.25" customHeight="1" x14ac:dyDescent="0.3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  <c r="AL820" s="109"/>
      <c r="AM820" s="109"/>
      <c r="AN820" s="109"/>
      <c r="AO820" s="109"/>
      <c r="AP820" s="109"/>
      <c r="AQ820" s="109"/>
      <c r="AR820" s="109"/>
      <c r="AS820" s="109"/>
      <c r="AT820" s="109"/>
      <c r="AU820" s="109"/>
    </row>
    <row r="821" spans="1:47" ht="14.25" customHeight="1" x14ac:dyDescent="0.3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  <c r="AD821" s="109"/>
      <c r="AE821" s="109"/>
      <c r="AF821" s="109"/>
      <c r="AG821" s="109"/>
      <c r="AH821" s="109"/>
      <c r="AI821" s="109"/>
      <c r="AJ821" s="109"/>
      <c r="AK821" s="109"/>
      <c r="AL821" s="109"/>
      <c r="AM821" s="109"/>
      <c r="AN821" s="109"/>
      <c r="AO821" s="109"/>
      <c r="AP821" s="109"/>
      <c r="AQ821" s="109"/>
      <c r="AR821" s="109"/>
      <c r="AS821" s="109"/>
      <c r="AT821" s="109"/>
      <c r="AU821" s="109"/>
    </row>
    <row r="822" spans="1:47" ht="14.25" customHeight="1" x14ac:dyDescent="0.3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  <c r="AD822" s="109"/>
      <c r="AE822" s="109"/>
      <c r="AF822" s="109"/>
      <c r="AG822" s="109"/>
      <c r="AH822" s="109"/>
      <c r="AI822" s="109"/>
      <c r="AJ822" s="109"/>
      <c r="AK822" s="109"/>
      <c r="AL822" s="109"/>
      <c r="AM822" s="109"/>
      <c r="AN822" s="109"/>
      <c r="AO822" s="109"/>
      <c r="AP822" s="109"/>
      <c r="AQ822" s="109"/>
      <c r="AR822" s="109"/>
      <c r="AS822" s="109"/>
      <c r="AT822" s="109"/>
      <c r="AU822" s="109"/>
    </row>
    <row r="823" spans="1:47" ht="14.25" customHeight="1" x14ac:dyDescent="0.3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  <c r="AL823" s="109"/>
      <c r="AM823" s="109"/>
      <c r="AN823" s="109"/>
      <c r="AO823" s="109"/>
      <c r="AP823" s="109"/>
      <c r="AQ823" s="109"/>
      <c r="AR823" s="109"/>
      <c r="AS823" s="109"/>
      <c r="AT823" s="109"/>
      <c r="AU823" s="109"/>
    </row>
    <row r="824" spans="1:47" ht="14.25" customHeight="1" x14ac:dyDescent="0.3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  <c r="AL824" s="109"/>
      <c r="AM824" s="109"/>
      <c r="AN824" s="109"/>
      <c r="AO824" s="109"/>
      <c r="AP824" s="109"/>
      <c r="AQ824" s="109"/>
      <c r="AR824" s="109"/>
      <c r="AS824" s="109"/>
      <c r="AT824" s="109"/>
      <c r="AU824" s="109"/>
    </row>
    <row r="825" spans="1:47" ht="14.25" customHeight="1" x14ac:dyDescent="0.3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  <c r="AL825" s="109"/>
      <c r="AM825" s="109"/>
      <c r="AN825" s="109"/>
      <c r="AO825" s="109"/>
      <c r="AP825" s="109"/>
      <c r="AQ825" s="109"/>
      <c r="AR825" s="109"/>
      <c r="AS825" s="109"/>
      <c r="AT825" s="109"/>
      <c r="AU825" s="109"/>
    </row>
    <row r="826" spans="1:47" ht="14.25" customHeight="1" x14ac:dyDescent="0.3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  <c r="AL826" s="109"/>
      <c r="AM826" s="109"/>
      <c r="AN826" s="109"/>
      <c r="AO826" s="109"/>
      <c r="AP826" s="109"/>
      <c r="AQ826" s="109"/>
      <c r="AR826" s="109"/>
      <c r="AS826" s="109"/>
      <c r="AT826" s="109"/>
      <c r="AU826" s="109"/>
    </row>
    <row r="827" spans="1:47" ht="14.25" customHeight="1" x14ac:dyDescent="0.3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  <c r="AL827" s="109"/>
      <c r="AM827" s="109"/>
      <c r="AN827" s="109"/>
      <c r="AO827" s="109"/>
      <c r="AP827" s="109"/>
      <c r="AQ827" s="109"/>
      <c r="AR827" s="109"/>
      <c r="AS827" s="109"/>
      <c r="AT827" s="109"/>
      <c r="AU827" s="109"/>
    </row>
    <row r="828" spans="1:47" ht="14.25" customHeight="1" x14ac:dyDescent="0.3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  <c r="AL828" s="109"/>
      <c r="AM828" s="109"/>
      <c r="AN828" s="109"/>
      <c r="AO828" s="109"/>
      <c r="AP828" s="109"/>
      <c r="AQ828" s="109"/>
      <c r="AR828" s="109"/>
      <c r="AS828" s="109"/>
      <c r="AT828" s="109"/>
      <c r="AU828" s="109"/>
    </row>
    <row r="829" spans="1:47" ht="14.25" customHeight="1" x14ac:dyDescent="0.3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  <c r="AL829" s="109"/>
      <c r="AM829" s="109"/>
      <c r="AN829" s="109"/>
      <c r="AO829" s="109"/>
      <c r="AP829" s="109"/>
      <c r="AQ829" s="109"/>
      <c r="AR829" s="109"/>
      <c r="AS829" s="109"/>
      <c r="AT829" s="109"/>
      <c r="AU829" s="109"/>
    </row>
    <row r="830" spans="1:47" ht="14.25" customHeight="1" x14ac:dyDescent="0.3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  <c r="AL830" s="109"/>
      <c r="AM830" s="109"/>
      <c r="AN830" s="109"/>
      <c r="AO830" s="109"/>
      <c r="AP830" s="109"/>
      <c r="AQ830" s="109"/>
      <c r="AR830" s="109"/>
      <c r="AS830" s="109"/>
      <c r="AT830" s="109"/>
      <c r="AU830" s="109"/>
    </row>
    <row r="831" spans="1:47" ht="14.25" customHeight="1" x14ac:dyDescent="0.3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  <c r="AL831" s="109"/>
      <c r="AM831" s="109"/>
      <c r="AN831" s="109"/>
      <c r="AO831" s="109"/>
      <c r="AP831" s="109"/>
      <c r="AQ831" s="109"/>
      <c r="AR831" s="109"/>
      <c r="AS831" s="109"/>
      <c r="AT831" s="109"/>
      <c r="AU831" s="109"/>
    </row>
    <row r="832" spans="1:47" ht="14.25" customHeight="1" x14ac:dyDescent="0.3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  <c r="AL832" s="109"/>
      <c r="AM832" s="109"/>
      <c r="AN832" s="109"/>
      <c r="AO832" s="109"/>
      <c r="AP832" s="109"/>
      <c r="AQ832" s="109"/>
      <c r="AR832" s="109"/>
      <c r="AS832" s="109"/>
      <c r="AT832" s="109"/>
      <c r="AU832" s="109"/>
    </row>
    <row r="833" spans="1:47" ht="14.25" customHeight="1" x14ac:dyDescent="0.3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  <c r="AL833" s="109"/>
      <c r="AM833" s="109"/>
      <c r="AN833" s="109"/>
      <c r="AO833" s="109"/>
      <c r="AP833" s="109"/>
      <c r="AQ833" s="109"/>
      <c r="AR833" s="109"/>
      <c r="AS833" s="109"/>
      <c r="AT833" s="109"/>
      <c r="AU833" s="109"/>
    </row>
    <row r="834" spans="1:47" ht="14.25" customHeight="1" x14ac:dyDescent="0.3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  <c r="AD834" s="109"/>
      <c r="AE834" s="109"/>
      <c r="AF834" s="109"/>
      <c r="AG834" s="109"/>
      <c r="AH834" s="109"/>
      <c r="AI834" s="109"/>
      <c r="AJ834" s="109"/>
      <c r="AK834" s="109"/>
      <c r="AL834" s="109"/>
      <c r="AM834" s="109"/>
      <c r="AN834" s="109"/>
      <c r="AO834" s="109"/>
      <c r="AP834" s="109"/>
      <c r="AQ834" s="109"/>
      <c r="AR834" s="109"/>
      <c r="AS834" s="109"/>
      <c r="AT834" s="109"/>
      <c r="AU834" s="109"/>
    </row>
    <row r="835" spans="1:47" ht="14.25" customHeight="1" x14ac:dyDescent="0.3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  <c r="AL835" s="109"/>
      <c r="AM835" s="109"/>
      <c r="AN835" s="109"/>
      <c r="AO835" s="109"/>
      <c r="AP835" s="109"/>
      <c r="AQ835" s="109"/>
      <c r="AR835" s="109"/>
      <c r="AS835" s="109"/>
      <c r="AT835" s="109"/>
      <c r="AU835" s="109"/>
    </row>
    <row r="836" spans="1:47" ht="14.25" customHeight="1" x14ac:dyDescent="0.3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  <c r="AD836" s="109"/>
      <c r="AE836" s="109"/>
      <c r="AF836" s="109"/>
      <c r="AG836" s="109"/>
      <c r="AH836" s="109"/>
      <c r="AI836" s="109"/>
      <c r="AJ836" s="109"/>
      <c r="AK836" s="109"/>
      <c r="AL836" s="109"/>
      <c r="AM836" s="109"/>
      <c r="AN836" s="109"/>
      <c r="AO836" s="109"/>
      <c r="AP836" s="109"/>
      <c r="AQ836" s="109"/>
      <c r="AR836" s="109"/>
      <c r="AS836" s="109"/>
      <c r="AT836" s="109"/>
      <c r="AU836" s="109"/>
    </row>
    <row r="837" spans="1:47" ht="14.25" customHeight="1" x14ac:dyDescent="0.3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  <c r="AL837" s="109"/>
      <c r="AM837" s="109"/>
      <c r="AN837" s="109"/>
      <c r="AO837" s="109"/>
      <c r="AP837" s="109"/>
      <c r="AQ837" s="109"/>
      <c r="AR837" s="109"/>
      <c r="AS837" s="109"/>
      <c r="AT837" s="109"/>
      <c r="AU837" s="109"/>
    </row>
    <row r="838" spans="1:47" ht="14.25" customHeight="1" x14ac:dyDescent="0.3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  <c r="AD838" s="109"/>
      <c r="AE838" s="109"/>
      <c r="AF838" s="109"/>
      <c r="AG838" s="109"/>
      <c r="AH838" s="109"/>
      <c r="AI838" s="109"/>
      <c r="AJ838" s="109"/>
      <c r="AK838" s="109"/>
      <c r="AL838" s="109"/>
      <c r="AM838" s="109"/>
      <c r="AN838" s="109"/>
      <c r="AO838" s="109"/>
      <c r="AP838" s="109"/>
      <c r="AQ838" s="109"/>
      <c r="AR838" s="109"/>
      <c r="AS838" s="109"/>
      <c r="AT838" s="109"/>
      <c r="AU838" s="109"/>
    </row>
    <row r="839" spans="1:47" ht="14.25" customHeight="1" x14ac:dyDescent="0.3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  <c r="AD839" s="109"/>
      <c r="AE839" s="109"/>
      <c r="AF839" s="109"/>
      <c r="AG839" s="109"/>
      <c r="AH839" s="109"/>
      <c r="AI839" s="109"/>
      <c r="AJ839" s="109"/>
      <c r="AK839" s="109"/>
      <c r="AL839" s="109"/>
      <c r="AM839" s="109"/>
      <c r="AN839" s="109"/>
      <c r="AO839" s="109"/>
      <c r="AP839" s="109"/>
      <c r="AQ839" s="109"/>
      <c r="AR839" s="109"/>
      <c r="AS839" s="109"/>
      <c r="AT839" s="109"/>
      <c r="AU839" s="109"/>
    </row>
    <row r="840" spans="1:47" ht="14.25" customHeight="1" x14ac:dyDescent="0.3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  <c r="AD840" s="109"/>
      <c r="AE840" s="109"/>
      <c r="AF840" s="109"/>
      <c r="AG840" s="109"/>
      <c r="AH840" s="109"/>
      <c r="AI840" s="109"/>
      <c r="AJ840" s="109"/>
      <c r="AK840" s="109"/>
      <c r="AL840" s="109"/>
      <c r="AM840" s="109"/>
      <c r="AN840" s="109"/>
      <c r="AO840" s="109"/>
      <c r="AP840" s="109"/>
      <c r="AQ840" s="109"/>
      <c r="AR840" s="109"/>
      <c r="AS840" s="109"/>
      <c r="AT840" s="109"/>
      <c r="AU840" s="109"/>
    </row>
    <row r="841" spans="1:47" ht="14.25" customHeight="1" x14ac:dyDescent="0.3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  <c r="AD841" s="109"/>
      <c r="AE841" s="109"/>
      <c r="AF841" s="109"/>
      <c r="AG841" s="109"/>
      <c r="AH841" s="109"/>
      <c r="AI841" s="109"/>
      <c r="AJ841" s="109"/>
      <c r="AK841" s="109"/>
      <c r="AL841" s="109"/>
      <c r="AM841" s="109"/>
      <c r="AN841" s="109"/>
      <c r="AO841" s="109"/>
      <c r="AP841" s="109"/>
      <c r="AQ841" s="109"/>
      <c r="AR841" s="109"/>
      <c r="AS841" s="109"/>
      <c r="AT841" s="109"/>
      <c r="AU841" s="109"/>
    </row>
    <row r="842" spans="1:47" ht="14.25" customHeight="1" x14ac:dyDescent="0.3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  <c r="AL842" s="109"/>
      <c r="AM842" s="109"/>
      <c r="AN842" s="109"/>
      <c r="AO842" s="109"/>
      <c r="AP842" s="109"/>
      <c r="AQ842" s="109"/>
      <c r="AR842" s="109"/>
      <c r="AS842" s="109"/>
      <c r="AT842" s="109"/>
      <c r="AU842" s="109"/>
    </row>
    <row r="843" spans="1:47" ht="14.25" customHeight="1" x14ac:dyDescent="0.3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  <c r="AD843" s="109"/>
      <c r="AE843" s="109"/>
      <c r="AF843" s="109"/>
      <c r="AG843" s="109"/>
      <c r="AH843" s="109"/>
      <c r="AI843" s="109"/>
      <c r="AJ843" s="109"/>
      <c r="AK843" s="109"/>
      <c r="AL843" s="109"/>
      <c r="AM843" s="109"/>
      <c r="AN843" s="109"/>
      <c r="AO843" s="109"/>
      <c r="AP843" s="109"/>
      <c r="AQ843" s="109"/>
      <c r="AR843" s="109"/>
      <c r="AS843" s="109"/>
      <c r="AT843" s="109"/>
      <c r="AU843" s="109"/>
    </row>
    <row r="844" spans="1:47" ht="14.25" customHeight="1" x14ac:dyDescent="0.3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  <c r="AL844" s="109"/>
      <c r="AM844" s="109"/>
      <c r="AN844" s="109"/>
      <c r="AO844" s="109"/>
      <c r="AP844" s="109"/>
      <c r="AQ844" s="109"/>
      <c r="AR844" s="109"/>
      <c r="AS844" s="109"/>
      <c r="AT844" s="109"/>
      <c r="AU844" s="109"/>
    </row>
    <row r="845" spans="1:47" ht="14.25" customHeight="1" x14ac:dyDescent="0.3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  <c r="AL845" s="109"/>
      <c r="AM845" s="109"/>
      <c r="AN845" s="109"/>
      <c r="AO845" s="109"/>
      <c r="AP845" s="109"/>
      <c r="AQ845" s="109"/>
      <c r="AR845" s="109"/>
      <c r="AS845" s="109"/>
      <c r="AT845" s="109"/>
      <c r="AU845" s="109"/>
    </row>
    <row r="846" spans="1:47" ht="14.25" customHeight="1" x14ac:dyDescent="0.3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  <c r="AD846" s="109"/>
      <c r="AE846" s="109"/>
      <c r="AF846" s="109"/>
      <c r="AG846" s="109"/>
      <c r="AH846" s="109"/>
      <c r="AI846" s="109"/>
      <c r="AJ846" s="109"/>
      <c r="AK846" s="109"/>
      <c r="AL846" s="109"/>
      <c r="AM846" s="109"/>
      <c r="AN846" s="109"/>
      <c r="AO846" s="109"/>
      <c r="AP846" s="109"/>
      <c r="AQ846" s="109"/>
      <c r="AR846" s="109"/>
      <c r="AS846" s="109"/>
      <c r="AT846" s="109"/>
      <c r="AU846" s="109"/>
    </row>
    <row r="847" spans="1:47" ht="14.25" customHeight="1" x14ac:dyDescent="0.3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  <c r="AL847" s="109"/>
      <c r="AM847" s="109"/>
      <c r="AN847" s="109"/>
      <c r="AO847" s="109"/>
      <c r="AP847" s="109"/>
      <c r="AQ847" s="109"/>
      <c r="AR847" s="109"/>
      <c r="AS847" s="109"/>
      <c r="AT847" s="109"/>
      <c r="AU847" s="109"/>
    </row>
    <row r="848" spans="1:47" ht="14.25" customHeight="1" x14ac:dyDescent="0.3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  <c r="AL848" s="109"/>
      <c r="AM848" s="109"/>
      <c r="AN848" s="109"/>
      <c r="AO848" s="109"/>
      <c r="AP848" s="109"/>
      <c r="AQ848" s="109"/>
      <c r="AR848" s="109"/>
      <c r="AS848" s="109"/>
      <c r="AT848" s="109"/>
      <c r="AU848" s="109"/>
    </row>
    <row r="849" spans="1:47" ht="14.25" customHeight="1" x14ac:dyDescent="0.3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  <c r="AL849" s="109"/>
      <c r="AM849" s="109"/>
      <c r="AN849" s="109"/>
      <c r="AO849" s="109"/>
      <c r="AP849" s="109"/>
      <c r="AQ849" s="109"/>
      <c r="AR849" s="109"/>
      <c r="AS849" s="109"/>
      <c r="AT849" s="109"/>
      <c r="AU849" s="109"/>
    </row>
    <row r="850" spans="1:47" ht="14.25" customHeight="1" x14ac:dyDescent="0.3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  <c r="AD850" s="109"/>
      <c r="AE850" s="109"/>
      <c r="AF850" s="109"/>
      <c r="AG850" s="109"/>
      <c r="AH850" s="109"/>
      <c r="AI850" s="109"/>
      <c r="AJ850" s="109"/>
      <c r="AK850" s="109"/>
      <c r="AL850" s="109"/>
      <c r="AM850" s="109"/>
      <c r="AN850" s="109"/>
      <c r="AO850" s="109"/>
      <c r="AP850" s="109"/>
      <c r="AQ850" s="109"/>
      <c r="AR850" s="109"/>
      <c r="AS850" s="109"/>
      <c r="AT850" s="109"/>
      <c r="AU850" s="109"/>
    </row>
    <row r="851" spans="1:47" ht="14.25" customHeight="1" x14ac:dyDescent="0.3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  <c r="AL851" s="109"/>
      <c r="AM851" s="109"/>
      <c r="AN851" s="109"/>
      <c r="AO851" s="109"/>
      <c r="AP851" s="109"/>
      <c r="AQ851" s="109"/>
      <c r="AR851" s="109"/>
      <c r="AS851" s="109"/>
      <c r="AT851" s="109"/>
      <c r="AU851" s="109"/>
    </row>
    <row r="852" spans="1:47" ht="14.25" customHeight="1" x14ac:dyDescent="0.3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  <c r="AD852" s="109"/>
      <c r="AE852" s="109"/>
      <c r="AF852" s="109"/>
      <c r="AG852" s="109"/>
      <c r="AH852" s="109"/>
      <c r="AI852" s="109"/>
      <c r="AJ852" s="109"/>
      <c r="AK852" s="109"/>
      <c r="AL852" s="109"/>
      <c r="AM852" s="109"/>
      <c r="AN852" s="109"/>
      <c r="AO852" s="109"/>
      <c r="AP852" s="109"/>
      <c r="AQ852" s="109"/>
      <c r="AR852" s="109"/>
      <c r="AS852" s="109"/>
      <c r="AT852" s="109"/>
      <c r="AU852" s="109"/>
    </row>
    <row r="853" spans="1:47" ht="14.25" customHeight="1" x14ac:dyDescent="0.3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  <c r="AL853" s="109"/>
      <c r="AM853" s="109"/>
      <c r="AN853" s="109"/>
      <c r="AO853" s="109"/>
      <c r="AP853" s="109"/>
      <c r="AQ853" s="109"/>
      <c r="AR853" s="109"/>
      <c r="AS853" s="109"/>
      <c r="AT853" s="109"/>
      <c r="AU853" s="109"/>
    </row>
    <row r="854" spans="1:47" ht="14.25" customHeight="1" x14ac:dyDescent="0.3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  <c r="AD854" s="109"/>
      <c r="AE854" s="109"/>
      <c r="AF854" s="109"/>
      <c r="AG854" s="109"/>
      <c r="AH854" s="109"/>
      <c r="AI854" s="109"/>
      <c r="AJ854" s="109"/>
      <c r="AK854" s="109"/>
      <c r="AL854" s="109"/>
      <c r="AM854" s="109"/>
      <c r="AN854" s="109"/>
      <c r="AO854" s="109"/>
      <c r="AP854" s="109"/>
      <c r="AQ854" s="109"/>
      <c r="AR854" s="109"/>
      <c r="AS854" s="109"/>
      <c r="AT854" s="109"/>
      <c r="AU854" s="109"/>
    </row>
    <row r="855" spans="1:47" ht="14.25" customHeight="1" x14ac:dyDescent="0.3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  <c r="AD855" s="109"/>
      <c r="AE855" s="109"/>
      <c r="AF855" s="109"/>
      <c r="AG855" s="109"/>
      <c r="AH855" s="109"/>
      <c r="AI855" s="109"/>
      <c r="AJ855" s="109"/>
      <c r="AK855" s="109"/>
      <c r="AL855" s="109"/>
      <c r="AM855" s="109"/>
      <c r="AN855" s="109"/>
      <c r="AO855" s="109"/>
      <c r="AP855" s="109"/>
      <c r="AQ855" s="109"/>
      <c r="AR855" s="109"/>
      <c r="AS855" s="109"/>
      <c r="AT855" s="109"/>
      <c r="AU855" s="109"/>
    </row>
    <row r="856" spans="1:47" ht="14.25" customHeight="1" x14ac:dyDescent="0.3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  <c r="AD856" s="109"/>
      <c r="AE856" s="109"/>
      <c r="AF856" s="109"/>
      <c r="AG856" s="109"/>
      <c r="AH856" s="109"/>
      <c r="AI856" s="109"/>
      <c r="AJ856" s="109"/>
      <c r="AK856" s="109"/>
      <c r="AL856" s="109"/>
      <c r="AM856" s="109"/>
      <c r="AN856" s="109"/>
      <c r="AO856" s="109"/>
      <c r="AP856" s="109"/>
      <c r="AQ856" s="109"/>
      <c r="AR856" s="109"/>
      <c r="AS856" s="109"/>
      <c r="AT856" s="109"/>
      <c r="AU856" s="109"/>
    </row>
    <row r="857" spans="1:47" ht="14.25" customHeight="1" x14ac:dyDescent="0.3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  <c r="AD857" s="109"/>
      <c r="AE857" s="109"/>
      <c r="AF857" s="109"/>
      <c r="AG857" s="109"/>
      <c r="AH857" s="109"/>
      <c r="AI857" s="109"/>
      <c r="AJ857" s="109"/>
      <c r="AK857" s="109"/>
      <c r="AL857" s="109"/>
      <c r="AM857" s="109"/>
      <c r="AN857" s="109"/>
      <c r="AO857" s="109"/>
      <c r="AP857" s="109"/>
      <c r="AQ857" s="109"/>
      <c r="AR857" s="109"/>
      <c r="AS857" s="109"/>
      <c r="AT857" s="109"/>
      <c r="AU857" s="109"/>
    </row>
    <row r="858" spans="1:47" ht="14.25" customHeight="1" x14ac:dyDescent="0.3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  <c r="AD858" s="109"/>
      <c r="AE858" s="109"/>
      <c r="AF858" s="109"/>
      <c r="AG858" s="109"/>
      <c r="AH858" s="109"/>
      <c r="AI858" s="109"/>
      <c r="AJ858" s="109"/>
      <c r="AK858" s="109"/>
      <c r="AL858" s="109"/>
      <c r="AM858" s="109"/>
      <c r="AN858" s="109"/>
      <c r="AO858" s="109"/>
      <c r="AP858" s="109"/>
      <c r="AQ858" s="109"/>
      <c r="AR858" s="109"/>
      <c r="AS858" s="109"/>
      <c r="AT858" s="109"/>
      <c r="AU858" s="109"/>
    </row>
    <row r="859" spans="1:47" ht="14.25" customHeight="1" x14ac:dyDescent="0.3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  <c r="AD859" s="109"/>
      <c r="AE859" s="109"/>
      <c r="AF859" s="109"/>
      <c r="AG859" s="109"/>
      <c r="AH859" s="109"/>
      <c r="AI859" s="109"/>
      <c r="AJ859" s="109"/>
      <c r="AK859" s="109"/>
      <c r="AL859" s="109"/>
      <c r="AM859" s="109"/>
      <c r="AN859" s="109"/>
      <c r="AO859" s="109"/>
      <c r="AP859" s="109"/>
      <c r="AQ859" s="109"/>
      <c r="AR859" s="109"/>
      <c r="AS859" s="109"/>
      <c r="AT859" s="109"/>
      <c r="AU859" s="109"/>
    </row>
    <row r="860" spans="1:47" ht="14.25" customHeight="1" x14ac:dyDescent="0.3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  <c r="AL860" s="109"/>
      <c r="AM860" s="109"/>
      <c r="AN860" s="109"/>
      <c r="AO860" s="109"/>
      <c r="AP860" s="109"/>
      <c r="AQ860" s="109"/>
      <c r="AR860" s="109"/>
      <c r="AS860" s="109"/>
      <c r="AT860" s="109"/>
      <c r="AU860" s="109"/>
    </row>
    <row r="861" spans="1:47" ht="14.25" customHeight="1" x14ac:dyDescent="0.3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  <c r="AL861" s="109"/>
      <c r="AM861" s="109"/>
      <c r="AN861" s="109"/>
      <c r="AO861" s="109"/>
      <c r="AP861" s="109"/>
      <c r="AQ861" s="109"/>
      <c r="AR861" s="109"/>
      <c r="AS861" s="109"/>
      <c r="AT861" s="109"/>
      <c r="AU861" s="109"/>
    </row>
    <row r="862" spans="1:47" ht="14.25" customHeight="1" x14ac:dyDescent="0.3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109"/>
      <c r="AI862" s="109"/>
      <c r="AJ862" s="109"/>
      <c r="AK862" s="109"/>
      <c r="AL862" s="109"/>
      <c r="AM862" s="109"/>
      <c r="AN862" s="109"/>
      <c r="AO862" s="109"/>
      <c r="AP862" s="109"/>
      <c r="AQ862" s="109"/>
      <c r="AR862" s="109"/>
      <c r="AS862" s="109"/>
      <c r="AT862" s="109"/>
      <c r="AU862" s="109"/>
    </row>
    <row r="863" spans="1:47" ht="14.25" customHeight="1" x14ac:dyDescent="0.3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  <c r="AL863" s="109"/>
      <c r="AM863" s="109"/>
      <c r="AN863" s="109"/>
      <c r="AO863" s="109"/>
      <c r="AP863" s="109"/>
      <c r="AQ863" s="109"/>
      <c r="AR863" s="109"/>
      <c r="AS863" s="109"/>
      <c r="AT863" s="109"/>
      <c r="AU863" s="109"/>
    </row>
    <row r="864" spans="1:47" ht="14.25" customHeight="1" x14ac:dyDescent="0.3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  <c r="AL864" s="109"/>
      <c r="AM864" s="109"/>
      <c r="AN864" s="109"/>
      <c r="AO864" s="109"/>
      <c r="AP864" s="109"/>
      <c r="AQ864" s="109"/>
      <c r="AR864" s="109"/>
      <c r="AS864" s="109"/>
      <c r="AT864" s="109"/>
      <c r="AU864" s="109"/>
    </row>
    <row r="865" spans="1:47" ht="14.25" customHeight="1" x14ac:dyDescent="0.3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  <c r="AD865" s="109"/>
      <c r="AE865" s="109"/>
      <c r="AF865" s="109"/>
      <c r="AG865" s="109"/>
      <c r="AH865" s="109"/>
      <c r="AI865" s="109"/>
      <c r="AJ865" s="109"/>
      <c r="AK865" s="109"/>
      <c r="AL865" s="109"/>
      <c r="AM865" s="109"/>
      <c r="AN865" s="109"/>
      <c r="AO865" s="109"/>
      <c r="AP865" s="109"/>
      <c r="AQ865" s="109"/>
      <c r="AR865" s="109"/>
      <c r="AS865" s="109"/>
      <c r="AT865" s="109"/>
      <c r="AU865" s="109"/>
    </row>
    <row r="866" spans="1:47" ht="14.25" customHeight="1" x14ac:dyDescent="0.3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  <c r="AL866" s="109"/>
      <c r="AM866" s="109"/>
      <c r="AN866" s="109"/>
      <c r="AO866" s="109"/>
      <c r="AP866" s="109"/>
      <c r="AQ866" s="109"/>
      <c r="AR866" s="109"/>
      <c r="AS866" s="109"/>
      <c r="AT866" s="109"/>
      <c r="AU866" s="109"/>
    </row>
    <row r="867" spans="1:47" ht="14.25" customHeight="1" x14ac:dyDescent="0.3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  <c r="AD867" s="109"/>
      <c r="AE867" s="109"/>
      <c r="AF867" s="109"/>
      <c r="AG867" s="109"/>
      <c r="AH867" s="109"/>
      <c r="AI867" s="109"/>
      <c r="AJ867" s="109"/>
      <c r="AK867" s="109"/>
      <c r="AL867" s="109"/>
      <c r="AM867" s="109"/>
      <c r="AN867" s="109"/>
      <c r="AO867" s="109"/>
      <c r="AP867" s="109"/>
      <c r="AQ867" s="109"/>
      <c r="AR867" s="109"/>
      <c r="AS867" s="109"/>
      <c r="AT867" s="109"/>
      <c r="AU867" s="109"/>
    </row>
    <row r="868" spans="1:47" ht="14.25" customHeight="1" x14ac:dyDescent="0.3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  <c r="AL868" s="109"/>
      <c r="AM868" s="109"/>
      <c r="AN868" s="109"/>
      <c r="AO868" s="109"/>
      <c r="AP868" s="109"/>
      <c r="AQ868" s="109"/>
      <c r="AR868" s="109"/>
      <c r="AS868" s="109"/>
      <c r="AT868" s="109"/>
      <c r="AU868" s="109"/>
    </row>
    <row r="869" spans="1:47" ht="14.25" customHeight="1" x14ac:dyDescent="0.3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  <c r="AD869" s="109"/>
      <c r="AE869" s="109"/>
      <c r="AF869" s="109"/>
      <c r="AG869" s="109"/>
      <c r="AH869" s="109"/>
      <c r="AI869" s="109"/>
      <c r="AJ869" s="109"/>
      <c r="AK869" s="109"/>
      <c r="AL869" s="109"/>
      <c r="AM869" s="109"/>
      <c r="AN869" s="109"/>
      <c r="AO869" s="109"/>
      <c r="AP869" s="109"/>
      <c r="AQ869" s="109"/>
      <c r="AR869" s="109"/>
      <c r="AS869" s="109"/>
      <c r="AT869" s="109"/>
      <c r="AU869" s="109"/>
    </row>
    <row r="870" spans="1:47" ht="14.25" customHeight="1" x14ac:dyDescent="0.3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  <c r="AD870" s="109"/>
      <c r="AE870" s="109"/>
      <c r="AF870" s="109"/>
      <c r="AG870" s="109"/>
      <c r="AH870" s="109"/>
      <c r="AI870" s="109"/>
      <c r="AJ870" s="109"/>
      <c r="AK870" s="109"/>
      <c r="AL870" s="109"/>
      <c r="AM870" s="109"/>
      <c r="AN870" s="109"/>
      <c r="AO870" s="109"/>
      <c r="AP870" s="109"/>
      <c r="AQ870" s="109"/>
      <c r="AR870" s="109"/>
      <c r="AS870" s="109"/>
      <c r="AT870" s="109"/>
      <c r="AU870" s="109"/>
    </row>
    <row r="871" spans="1:47" ht="14.25" customHeight="1" x14ac:dyDescent="0.3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  <c r="AD871" s="109"/>
      <c r="AE871" s="109"/>
      <c r="AF871" s="109"/>
      <c r="AG871" s="109"/>
      <c r="AH871" s="109"/>
      <c r="AI871" s="109"/>
      <c r="AJ871" s="109"/>
      <c r="AK871" s="109"/>
      <c r="AL871" s="109"/>
      <c r="AM871" s="109"/>
      <c r="AN871" s="109"/>
      <c r="AO871" s="109"/>
      <c r="AP871" s="109"/>
      <c r="AQ871" s="109"/>
      <c r="AR871" s="109"/>
      <c r="AS871" s="109"/>
      <c r="AT871" s="109"/>
      <c r="AU871" s="109"/>
    </row>
    <row r="872" spans="1:47" ht="14.25" customHeight="1" x14ac:dyDescent="0.3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  <c r="AL872" s="109"/>
      <c r="AM872" s="109"/>
      <c r="AN872" s="109"/>
      <c r="AO872" s="109"/>
      <c r="AP872" s="109"/>
      <c r="AQ872" s="109"/>
      <c r="AR872" s="109"/>
      <c r="AS872" s="109"/>
      <c r="AT872" s="109"/>
      <c r="AU872" s="109"/>
    </row>
    <row r="873" spans="1:47" ht="14.25" customHeight="1" x14ac:dyDescent="0.3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  <c r="AL873" s="109"/>
      <c r="AM873" s="109"/>
      <c r="AN873" s="109"/>
      <c r="AO873" s="109"/>
      <c r="AP873" s="109"/>
      <c r="AQ873" s="109"/>
      <c r="AR873" s="109"/>
      <c r="AS873" s="109"/>
      <c r="AT873" s="109"/>
      <c r="AU873" s="109"/>
    </row>
    <row r="874" spans="1:47" ht="14.25" customHeight="1" x14ac:dyDescent="0.3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  <c r="AD874" s="109"/>
      <c r="AE874" s="109"/>
      <c r="AF874" s="109"/>
      <c r="AG874" s="109"/>
      <c r="AH874" s="109"/>
      <c r="AI874" s="109"/>
      <c r="AJ874" s="109"/>
      <c r="AK874" s="109"/>
      <c r="AL874" s="109"/>
      <c r="AM874" s="109"/>
      <c r="AN874" s="109"/>
      <c r="AO874" s="109"/>
      <c r="AP874" s="109"/>
      <c r="AQ874" s="109"/>
      <c r="AR874" s="109"/>
      <c r="AS874" s="109"/>
      <c r="AT874" s="109"/>
      <c r="AU874" s="109"/>
    </row>
    <row r="875" spans="1:47" ht="14.25" customHeight="1" x14ac:dyDescent="0.3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  <c r="AD875" s="109"/>
      <c r="AE875" s="109"/>
      <c r="AF875" s="109"/>
      <c r="AG875" s="109"/>
      <c r="AH875" s="109"/>
      <c r="AI875" s="109"/>
      <c r="AJ875" s="109"/>
      <c r="AK875" s="109"/>
      <c r="AL875" s="109"/>
      <c r="AM875" s="109"/>
      <c r="AN875" s="109"/>
      <c r="AO875" s="109"/>
      <c r="AP875" s="109"/>
      <c r="AQ875" s="109"/>
      <c r="AR875" s="109"/>
      <c r="AS875" s="109"/>
      <c r="AT875" s="109"/>
      <c r="AU875" s="109"/>
    </row>
    <row r="876" spans="1:47" ht="14.25" customHeight="1" x14ac:dyDescent="0.3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  <c r="AD876" s="109"/>
      <c r="AE876" s="109"/>
      <c r="AF876" s="109"/>
      <c r="AG876" s="109"/>
      <c r="AH876" s="109"/>
      <c r="AI876" s="109"/>
      <c r="AJ876" s="109"/>
      <c r="AK876" s="109"/>
      <c r="AL876" s="109"/>
      <c r="AM876" s="109"/>
      <c r="AN876" s="109"/>
      <c r="AO876" s="109"/>
      <c r="AP876" s="109"/>
      <c r="AQ876" s="109"/>
      <c r="AR876" s="109"/>
      <c r="AS876" s="109"/>
      <c r="AT876" s="109"/>
      <c r="AU876" s="109"/>
    </row>
    <row r="877" spans="1:47" ht="14.25" customHeight="1" x14ac:dyDescent="0.3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  <c r="AD877" s="109"/>
      <c r="AE877" s="109"/>
      <c r="AF877" s="109"/>
      <c r="AG877" s="109"/>
      <c r="AH877" s="109"/>
      <c r="AI877" s="109"/>
      <c r="AJ877" s="109"/>
      <c r="AK877" s="109"/>
      <c r="AL877" s="109"/>
      <c r="AM877" s="109"/>
      <c r="AN877" s="109"/>
      <c r="AO877" s="109"/>
      <c r="AP877" s="109"/>
      <c r="AQ877" s="109"/>
      <c r="AR877" s="109"/>
      <c r="AS877" s="109"/>
      <c r="AT877" s="109"/>
      <c r="AU877" s="109"/>
    </row>
    <row r="878" spans="1:47" ht="14.25" customHeight="1" x14ac:dyDescent="0.3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  <c r="AD878" s="109"/>
      <c r="AE878" s="109"/>
      <c r="AF878" s="109"/>
      <c r="AG878" s="109"/>
      <c r="AH878" s="109"/>
      <c r="AI878" s="109"/>
      <c r="AJ878" s="109"/>
      <c r="AK878" s="109"/>
      <c r="AL878" s="109"/>
      <c r="AM878" s="109"/>
      <c r="AN878" s="109"/>
      <c r="AO878" s="109"/>
      <c r="AP878" s="109"/>
      <c r="AQ878" s="109"/>
      <c r="AR878" s="109"/>
      <c r="AS878" s="109"/>
      <c r="AT878" s="109"/>
      <c r="AU878" s="109"/>
    </row>
    <row r="879" spans="1:47" ht="14.25" customHeight="1" x14ac:dyDescent="0.3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  <c r="AD879" s="109"/>
      <c r="AE879" s="109"/>
      <c r="AF879" s="109"/>
      <c r="AG879" s="109"/>
      <c r="AH879" s="109"/>
      <c r="AI879" s="109"/>
      <c r="AJ879" s="109"/>
      <c r="AK879" s="109"/>
      <c r="AL879" s="109"/>
      <c r="AM879" s="109"/>
      <c r="AN879" s="109"/>
      <c r="AO879" s="109"/>
      <c r="AP879" s="109"/>
      <c r="AQ879" s="109"/>
      <c r="AR879" s="109"/>
      <c r="AS879" s="109"/>
      <c r="AT879" s="109"/>
      <c r="AU879" s="109"/>
    </row>
    <row r="880" spans="1:47" ht="14.25" customHeight="1" x14ac:dyDescent="0.3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  <c r="AD880" s="109"/>
      <c r="AE880" s="109"/>
      <c r="AF880" s="109"/>
      <c r="AG880" s="109"/>
      <c r="AH880" s="109"/>
      <c r="AI880" s="109"/>
      <c r="AJ880" s="109"/>
      <c r="AK880" s="109"/>
      <c r="AL880" s="109"/>
      <c r="AM880" s="109"/>
      <c r="AN880" s="109"/>
      <c r="AO880" s="109"/>
      <c r="AP880" s="109"/>
      <c r="AQ880" s="109"/>
      <c r="AR880" s="109"/>
      <c r="AS880" s="109"/>
      <c r="AT880" s="109"/>
      <c r="AU880" s="109"/>
    </row>
    <row r="881" spans="1:47" ht="14.25" customHeight="1" x14ac:dyDescent="0.3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  <c r="AD881" s="109"/>
      <c r="AE881" s="109"/>
      <c r="AF881" s="109"/>
      <c r="AG881" s="109"/>
      <c r="AH881" s="109"/>
      <c r="AI881" s="109"/>
      <c r="AJ881" s="109"/>
      <c r="AK881" s="109"/>
      <c r="AL881" s="109"/>
      <c r="AM881" s="109"/>
      <c r="AN881" s="109"/>
      <c r="AO881" s="109"/>
      <c r="AP881" s="109"/>
      <c r="AQ881" s="109"/>
      <c r="AR881" s="109"/>
      <c r="AS881" s="109"/>
      <c r="AT881" s="109"/>
      <c r="AU881" s="109"/>
    </row>
    <row r="882" spans="1:47" ht="14.25" customHeight="1" x14ac:dyDescent="0.3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  <c r="AD882" s="109"/>
      <c r="AE882" s="109"/>
      <c r="AF882" s="109"/>
      <c r="AG882" s="109"/>
      <c r="AH882" s="109"/>
      <c r="AI882" s="109"/>
      <c r="AJ882" s="109"/>
      <c r="AK882" s="109"/>
      <c r="AL882" s="109"/>
      <c r="AM882" s="109"/>
      <c r="AN882" s="109"/>
      <c r="AO882" s="109"/>
      <c r="AP882" s="109"/>
      <c r="AQ882" s="109"/>
      <c r="AR882" s="109"/>
      <c r="AS882" s="109"/>
      <c r="AT882" s="109"/>
      <c r="AU882" s="109"/>
    </row>
    <row r="883" spans="1:47" ht="14.25" customHeight="1" x14ac:dyDescent="0.3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  <c r="AL883" s="109"/>
      <c r="AM883" s="109"/>
      <c r="AN883" s="109"/>
      <c r="AO883" s="109"/>
      <c r="AP883" s="109"/>
      <c r="AQ883" s="109"/>
      <c r="AR883" s="109"/>
      <c r="AS883" s="109"/>
      <c r="AT883" s="109"/>
      <c r="AU883" s="109"/>
    </row>
    <row r="884" spans="1:47" ht="14.25" customHeight="1" x14ac:dyDescent="0.3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  <c r="AL884" s="109"/>
      <c r="AM884" s="109"/>
      <c r="AN884" s="109"/>
      <c r="AO884" s="109"/>
      <c r="AP884" s="109"/>
      <c r="AQ884" s="109"/>
      <c r="AR884" s="109"/>
      <c r="AS884" s="109"/>
      <c r="AT884" s="109"/>
      <c r="AU884" s="109"/>
    </row>
    <row r="885" spans="1:47" ht="14.25" customHeight="1" x14ac:dyDescent="0.3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  <c r="AL885" s="109"/>
      <c r="AM885" s="109"/>
      <c r="AN885" s="109"/>
      <c r="AO885" s="109"/>
      <c r="AP885" s="109"/>
      <c r="AQ885" s="109"/>
      <c r="AR885" s="109"/>
      <c r="AS885" s="109"/>
      <c r="AT885" s="109"/>
      <c r="AU885" s="109"/>
    </row>
    <row r="886" spans="1:47" ht="14.25" customHeight="1" x14ac:dyDescent="0.3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  <c r="AL886" s="109"/>
      <c r="AM886" s="109"/>
      <c r="AN886" s="109"/>
      <c r="AO886" s="109"/>
      <c r="AP886" s="109"/>
      <c r="AQ886" s="109"/>
      <c r="AR886" s="109"/>
      <c r="AS886" s="109"/>
      <c r="AT886" s="109"/>
      <c r="AU886" s="109"/>
    </row>
    <row r="887" spans="1:47" ht="14.25" customHeight="1" x14ac:dyDescent="0.3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  <c r="AL887" s="109"/>
      <c r="AM887" s="109"/>
      <c r="AN887" s="109"/>
      <c r="AO887" s="109"/>
      <c r="AP887" s="109"/>
      <c r="AQ887" s="109"/>
      <c r="AR887" s="109"/>
      <c r="AS887" s="109"/>
      <c r="AT887" s="109"/>
      <c r="AU887" s="109"/>
    </row>
    <row r="888" spans="1:47" ht="14.25" customHeight="1" x14ac:dyDescent="0.3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  <c r="AL888" s="109"/>
      <c r="AM888" s="109"/>
      <c r="AN888" s="109"/>
      <c r="AO888" s="109"/>
      <c r="AP888" s="109"/>
      <c r="AQ888" s="109"/>
      <c r="AR888" s="109"/>
      <c r="AS888" s="109"/>
      <c r="AT888" s="109"/>
      <c r="AU888" s="109"/>
    </row>
    <row r="889" spans="1:47" ht="14.25" customHeight="1" x14ac:dyDescent="0.3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  <c r="AL889" s="109"/>
      <c r="AM889" s="109"/>
      <c r="AN889" s="109"/>
      <c r="AO889" s="109"/>
      <c r="AP889" s="109"/>
      <c r="AQ889" s="109"/>
      <c r="AR889" s="109"/>
      <c r="AS889" s="109"/>
      <c r="AT889" s="109"/>
      <c r="AU889" s="109"/>
    </row>
    <row r="890" spans="1:47" ht="14.25" customHeight="1" x14ac:dyDescent="0.3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  <c r="AD890" s="109"/>
      <c r="AE890" s="109"/>
      <c r="AF890" s="109"/>
      <c r="AG890" s="109"/>
      <c r="AH890" s="109"/>
      <c r="AI890" s="109"/>
      <c r="AJ890" s="109"/>
      <c r="AK890" s="109"/>
      <c r="AL890" s="109"/>
      <c r="AM890" s="109"/>
      <c r="AN890" s="109"/>
      <c r="AO890" s="109"/>
      <c r="AP890" s="109"/>
      <c r="AQ890" s="109"/>
      <c r="AR890" s="109"/>
      <c r="AS890" s="109"/>
      <c r="AT890" s="109"/>
      <c r="AU890" s="109"/>
    </row>
    <row r="891" spans="1:47" ht="14.25" customHeight="1" x14ac:dyDescent="0.3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  <c r="AD891" s="109"/>
      <c r="AE891" s="109"/>
      <c r="AF891" s="109"/>
      <c r="AG891" s="109"/>
      <c r="AH891" s="109"/>
      <c r="AI891" s="109"/>
      <c r="AJ891" s="109"/>
      <c r="AK891" s="109"/>
      <c r="AL891" s="109"/>
      <c r="AM891" s="109"/>
      <c r="AN891" s="109"/>
      <c r="AO891" s="109"/>
      <c r="AP891" s="109"/>
      <c r="AQ891" s="109"/>
      <c r="AR891" s="109"/>
      <c r="AS891" s="109"/>
      <c r="AT891" s="109"/>
      <c r="AU891" s="109"/>
    </row>
    <row r="892" spans="1:47" ht="14.25" customHeight="1" x14ac:dyDescent="0.3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  <c r="AD892" s="109"/>
      <c r="AE892" s="109"/>
      <c r="AF892" s="109"/>
      <c r="AG892" s="109"/>
      <c r="AH892" s="109"/>
      <c r="AI892" s="109"/>
      <c r="AJ892" s="109"/>
      <c r="AK892" s="109"/>
      <c r="AL892" s="109"/>
      <c r="AM892" s="109"/>
      <c r="AN892" s="109"/>
      <c r="AO892" s="109"/>
      <c r="AP892" s="109"/>
      <c r="AQ892" s="109"/>
      <c r="AR892" s="109"/>
      <c r="AS892" s="109"/>
      <c r="AT892" s="109"/>
      <c r="AU892" s="109"/>
    </row>
    <row r="893" spans="1:47" ht="14.25" customHeight="1" x14ac:dyDescent="0.3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  <c r="AD893" s="109"/>
      <c r="AE893" s="109"/>
      <c r="AF893" s="109"/>
      <c r="AG893" s="109"/>
      <c r="AH893" s="109"/>
      <c r="AI893" s="109"/>
      <c r="AJ893" s="109"/>
      <c r="AK893" s="109"/>
      <c r="AL893" s="109"/>
      <c r="AM893" s="109"/>
      <c r="AN893" s="109"/>
      <c r="AO893" s="109"/>
      <c r="AP893" s="109"/>
      <c r="AQ893" s="109"/>
      <c r="AR893" s="109"/>
      <c r="AS893" s="109"/>
      <c r="AT893" s="109"/>
      <c r="AU893" s="109"/>
    </row>
    <row r="894" spans="1:47" ht="14.25" customHeight="1" x14ac:dyDescent="0.3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  <c r="AD894" s="109"/>
      <c r="AE894" s="109"/>
      <c r="AF894" s="109"/>
      <c r="AG894" s="109"/>
      <c r="AH894" s="109"/>
      <c r="AI894" s="109"/>
      <c r="AJ894" s="109"/>
      <c r="AK894" s="109"/>
      <c r="AL894" s="109"/>
      <c r="AM894" s="109"/>
      <c r="AN894" s="109"/>
      <c r="AO894" s="109"/>
      <c r="AP894" s="109"/>
      <c r="AQ894" s="109"/>
      <c r="AR894" s="109"/>
      <c r="AS894" s="109"/>
      <c r="AT894" s="109"/>
      <c r="AU894" s="109"/>
    </row>
    <row r="895" spans="1:47" ht="14.25" customHeight="1" x14ac:dyDescent="0.3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/>
      <c r="AL895" s="109"/>
      <c r="AM895" s="109"/>
      <c r="AN895" s="109"/>
      <c r="AO895" s="109"/>
      <c r="AP895" s="109"/>
      <c r="AQ895" s="109"/>
      <c r="AR895" s="109"/>
      <c r="AS895" s="109"/>
      <c r="AT895" s="109"/>
      <c r="AU895" s="109"/>
    </row>
    <row r="896" spans="1:47" ht="14.25" customHeight="1" x14ac:dyDescent="0.3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  <c r="AL896" s="109"/>
      <c r="AM896" s="109"/>
      <c r="AN896" s="109"/>
      <c r="AO896" s="109"/>
      <c r="AP896" s="109"/>
      <c r="AQ896" s="109"/>
      <c r="AR896" s="109"/>
      <c r="AS896" s="109"/>
      <c r="AT896" s="109"/>
      <c r="AU896" s="109"/>
    </row>
    <row r="897" spans="1:47" ht="14.25" customHeight="1" x14ac:dyDescent="0.3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/>
      <c r="AL897" s="109"/>
      <c r="AM897" s="109"/>
      <c r="AN897" s="109"/>
      <c r="AO897" s="109"/>
      <c r="AP897" s="109"/>
      <c r="AQ897" s="109"/>
      <c r="AR897" s="109"/>
      <c r="AS897" s="109"/>
      <c r="AT897" s="109"/>
      <c r="AU897" s="109"/>
    </row>
    <row r="898" spans="1:47" ht="14.25" customHeight="1" x14ac:dyDescent="0.3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/>
      <c r="AL898" s="109"/>
      <c r="AM898" s="109"/>
      <c r="AN898" s="109"/>
      <c r="AO898" s="109"/>
      <c r="AP898" s="109"/>
      <c r="AQ898" s="109"/>
      <c r="AR898" s="109"/>
      <c r="AS898" s="109"/>
      <c r="AT898" s="109"/>
      <c r="AU898" s="109"/>
    </row>
    <row r="899" spans="1:47" ht="14.25" customHeight="1" x14ac:dyDescent="0.3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/>
      <c r="AL899" s="109"/>
      <c r="AM899" s="109"/>
      <c r="AN899" s="109"/>
      <c r="AO899" s="109"/>
      <c r="AP899" s="109"/>
      <c r="AQ899" s="109"/>
      <c r="AR899" s="109"/>
      <c r="AS899" s="109"/>
      <c r="AT899" s="109"/>
      <c r="AU899" s="109"/>
    </row>
    <row r="900" spans="1:47" ht="14.25" customHeight="1" x14ac:dyDescent="0.3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/>
      <c r="AL900" s="109"/>
      <c r="AM900" s="109"/>
      <c r="AN900" s="109"/>
      <c r="AO900" s="109"/>
      <c r="AP900" s="109"/>
      <c r="AQ900" s="109"/>
      <c r="AR900" s="109"/>
      <c r="AS900" s="109"/>
      <c r="AT900" s="109"/>
      <c r="AU900" s="109"/>
    </row>
    <row r="901" spans="1:47" ht="14.25" customHeight="1" x14ac:dyDescent="0.3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/>
      <c r="AL901" s="109"/>
      <c r="AM901" s="109"/>
      <c r="AN901" s="109"/>
      <c r="AO901" s="109"/>
      <c r="AP901" s="109"/>
      <c r="AQ901" s="109"/>
      <c r="AR901" s="109"/>
      <c r="AS901" s="109"/>
      <c r="AT901" s="109"/>
      <c r="AU901" s="109"/>
    </row>
    <row r="902" spans="1:47" ht="14.25" customHeight="1" x14ac:dyDescent="0.3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09"/>
      <c r="AL902" s="109"/>
      <c r="AM902" s="109"/>
      <c r="AN902" s="109"/>
      <c r="AO902" s="109"/>
      <c r="AP902" s="109"/>
      <c r="AQ902" s="109"/>
      <c r="AR902" s="109"/>
      <c r="AS902" s="109"/>
      <c r="AT902" s="109"/>
      <c r="AU902" s="109"/>
    </row>
    <row r="903" spans="1:47" ht="14.25" customHeight="1" x14ac:dyDescent="0.3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/>
      <c r="AL903" s="109"/>
      <c r="AM903" s="109"/>
      <c r="AN903" s="109"/>
      <c r="AO903" s="109"/>
      <c r="AP903" s="109"/>
      <c r="AQ903" s="109"/>
      <c r="AR903" s="109"/>
      <c r="AS903" s="109"/>
      <c r="AT903" s="109"/>
      <c r="AU903" s="109"/>
    </row>
    <row r="904" spans="1:47" ht="14.25" customHeight="1" x14ac:dyDescent="0.3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109"/>
      <c r="AI904" s="109"/>
      <c r="AJ904" s="109"/>
      <c r="AK904" s="109"/>
      <c r="AL904" s="109"/>
      <c r="AM904" s="109"/>
      <c r="AN904" s="109"/>
      <c r="AO904" s="109"/>
      <c r="AP904" s="109"/>
      <c r="AQ904" s="109"/>
      <c r="AR904" s="109"/>
      <c r="AS904" s="109"/>
      <c r="AT904" s="109"/>
      <c r="AU904" s="109"/>
    </row>
    <row r="905" spans="1:47" ht="14.25" customHeight="1" x14ac:dyDescent="0.3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  <c r="AD905" s="109"/>
      <c r="AE905" s="109"/>
      <c r="AF905" s="109"/>
      <c r="AG905" s="109"/>
      <c r="AH905" s="109"/>
      <c r="AI905" s="109"/>
      <c r="AJ905" s="109"/>
      <c r="AK905" s="109"/>
      <c r="AL905" s="109"/>
      <c r="AM905" s="109"/>
      <c r="AN905" s="109"/>
      <c r="AO905" s="109"/>
      <c r="AP905" s="109"/>
      <c r="AQ905" s="109"/>
      <c r="AR905" s="109"/>
      <c r="AS905" s="109"/>
      <c r="AT905" s="109"/>
      <c r="AU905" s="109"/>
    </row>
    <row r="906" spans="1:47" ht="14.25" customHeight="1" x14ac:dyDescent="0.3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  <c r="AD906" s="109"/>
      <c r="AE906" s="109"/>
      <c r="AF906" s="109"/>
      <c r="AG906" s="109"/>
      <c r="AH906" s="109"/>
      <c r="AI906" s="109"/>
      <c r="AJ906" s="109"/>
      <c r="AK906" s="109"/>
      <c r="AL906" s="109"/>
      <c r="AM906" s="109"/>
      <c r="AN906" s="109"/>
      <c r="AO906" s="109"/>
      <c r="AP906" s="109"/>
      <c r="AQ906" s="109"/>
      <c r="AR906" s="109"/>
      <c r="AS906" s="109"/>
      <c r="AT906" s="109"/>
      <c r="AU906" s="109"/>
    </row>
    <row r="907" spans="1:47" ht="14.25" customHeight="1" x14ac:dyDescent="0.3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  <c r="AD907" s="109"/>
      <c r="AE907" s="109"/>
      <c r="AF907" s="109"/>
      <c r="AG907" s="109"/>
      <c r="AH907" s="109"/>
      <c r="AI907" s="109"/>
      <c r="AJ907" s="109"/>
      <c r="AK907" s="109"/>
      <c r="AL907" s="109"/>
      <c r="AM907" s="109"/>
      <c r="AN907" s="109"/>
      <c r="AO907" s="109"/>
      <c r="AP907" s="109"/>
      <c r="AQ907" s="109"/>
      <c r="AR907" s="109"/>
      <c r="AS907" s="109"/>
      <c r="AT907" s="109"/>
      <c r="AU907" s="109"/>
    </row>
    <row r="908" spans="1:47" ht="14.25" customHeight="1" x14ac:dyDescent="0.3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  <c r="AD908" s="109"/>
      <c r="AE908" s="109"/>
      <c r="AF908" s="109"/>
      <c r="AG908" s="109"/>
      <c r="AH908" s="109"/>
      <c r="AI908" s="109"/>
      <c r="AJ908" s="109"/>
      <c r="AK908" s="109"/>
      <c r="AL908" s="109"/>
      <c r="AM908" s="109"/>
      <c r="AN908" s="109"/>
      <c r="AO908" s="109"/>
      <c r="AP908" s="109"/>
      <c r="AQ908" s="109"/>
      <c r="AR908" s="109"/>
      <c r="AS908" s="109"/>
      <c r="AT908" s="109"/>
      <c r="AU908" s="109"/>
    </row>
    <row r="909" spans="1:47" ht="14.25" customHeight="1" x14ac:dyDescent="0.3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  <c r="AD909" s="109"/>
      <c r="AE909" s="109"/>
      <c r="AF909" s="109"/>
      <c r="AG909" s="109"/>
      <c r="AH909" s="109"/>
      <c r="AI909" s="109"/>
      <c r="AJ909" s="109"/>
      <c r="AK909" s="109"/>
      <c r="AL909" s="109"/>
      <c r="AM909" s="109"/>
      <c r="AN909" s="109"/>
      <c r="AO909" s="109"/>
      <c r="AP909" s="109"/>
      <c r="AQ909" s="109"/>
      <c r="AR909" s="109"/>
      <c r="AS909" s="109"/>
      <c r="AT909" s="109"/>
      <c r="AU909" s="109"/>
    </row>
    <row r="910" spans="1:47" ht="14.25" customHeight="1" x14ac:dyDescent="0.3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  <c r="AD910" s="109"/>
      <c r="AE910" s="109"/>
      <c r="AF910" s="109"/>
      <c r="AG910" s="109"/>
      <c r="AH910" s="109"/>
      <c r="AI910" s="109"/>
      <c r="AJ910" s="109"/>
      <c r="AK910" s="109"/>
      <c r="AL910" s="109"/>
      <c r="AM910" s="109"/>
      <c r="AN910" s="109"/>
      <c r="AO910" s="109"/>
      <c r="AP910" s="109"/>
      <c r="AQ910" s="109"/>
      <c r="AR910" s="109"/>
      <c r="AS910" s="109"/>
      <c r="AT910" s="109"/>
      <c r="AU910" s="109"/>
    </row>
    <row r="911" spans="1:47" ht="14.25" customHeight="1" x14ac:dyDescent="0.3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  <c r="AD911" s="109"/>
      <c r="AE911" s="109"/>
      <c r="AF911" s="109"/>
      <c r="AG911" s="109"/>
      <c r="AH911" s="109"/>
      <c r="AI911" s="109"/>
      <c r="AJ911" s="109"/>
      <c r="AK911" s="109"/>
      <c r="AL911" s="109"/>
      <c r="AM911" s="109"/>
      <c r="AN911" s="109"/>
      <c r="AO911" s="109"/>
      <c r="AP911" s="109"/>
      <c r="AQ911" s="109"/>
      <c r="AR911" s="109"/>
      <c r="AS911" s="109"/>
      <c r="AT911" s="109"/>
      <c r="AU911" s="109"/>
    </row>
    <row r="912" spans="1:47" ht="14.25" customHeight="1" x14ac:dyDescent="0.3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09"/>
      <c r="AG912" s="109"/>
      <c r="AH912" s="109"/>
      <c r="AI912" s="109"/>
      <c r="AJ912" s="109"/>
      <c r="AK912" s="109"/>
      <c r="AL912" s="109"/>
      <c r="AM912" s="109"/>
      <c r="AN912" s="109"/>
      <c r="AO912" s="109"/>
      <c r="AP912" s="109"/>
      <c r="AQ912" s="109"/>
      <c r="AR912" s="109"/>
      <c r="AS912" s="109"/>
      <c r="AT912" s="109"/>
      <c r="AU912" s="109"/>
    </row>
    <row r="913" spans="1:47" ht="14.25" customHeight="1" x14ac:dyDescent="0.3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09"/>
      <c r="AG913" s="109"/>
      <c r="AH913" s="109"/>
      <c r="AI913" s="109"/>
      <c r="AJ913" s="109"/>
      <c r="AK913" s="109"/>
      <c r="AL913" s="109"/>
      <c r="AM913" s="109"/>
      <c r="AN913" s="109"/>
      <c r="AO913" s="109"/>
      <c r="AP913" s="109"/>
      <c r="AQ913" s="109"/>
      <c r="AR913" s="109"/>
      <c r="AS913" s="109"/>
      <c r="AT913" s="109"/>
      <c r="AU913" s="109"/>
    </row>
    <row r="914" spans="1:47" ht="14.25" customHeight="1" x14ac:dyDescent="0.3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  <c r="AL914" s="109"/>
      <c r="AM914" s="109"/>
      <c r="AN914" s="109"/>
      <c r="AO914" s="109"/>
      <c r="AP914" s="109"/>
      <c r="AQ914" s="109"/>
      <c r="AR914" s="109"/>
      <c r="AS914" s="109"/>
      <c r="AT914" s="109"/>
      <c r="AU914" s="109"/>
    </row>
    <row r="915" spans="1:47" ht="14.25" customHeight="1" x14ac:dyDescent="0.3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09"/>
      <c r="AG915" s="109"/>
      <c r="AH915" s="109"/>
      <c r="AI915" s="109"/>
      <c r="AJ915" s="109"/>
      <c r="AK915" s="109"/>
      <c r="AL915" s="109"/>
      <c r="AM915" s="109"/>
      <c r="AN915" s="109"/>
      <c r="AO915" s="109"/>
      <c r="AP915" s="109"/>
      <c r="AQ915" s="109"/>
      <c r="AR915" s="109"/>
      <c r="AS915" s="109"/>
      <c r="AT915" s="109"/>
      <c r="AU915" s="109"/>
    </row>
    <row r="916" spans="1:47" ht="14.25" customHeight="1" x14ac:dyDescent="0.3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09"/>
      <c r="AG916" s="109"/>
      <c r="AH916" s="109"/>
      <c r="AI916" s="109"/>
      <c r="AJ916" s="109"/>
      <c r="AK916" s="109"/>
      <c r="AL916" s="109"/>
      <c r="AM916" s="109"/>
      <c r="AN916" s="109"/>
      <c r="AO916" s="109"/>
      <c r="AP916" s="109"/>
      <c r="AQ916" s="109"/>
      <c r="AR916" s="109"/>
      <c r="AS916" s="109"/>
      <c r="AT916" s="109"/>
      <c r="AU916" s="109"/>
    </row>
    <row r="917" spans="1:47" ht="14.25" customHeight="1" x14ac:dyDescent="0.3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09"/>
      <c r="AG917" s="109"/>
      <c r="AH917" s="109"/>
      <c r="AI917" s="109"/>
      <c r="AJ917" s="109"/>
      <c r="AK917" s="109"/>
      <c r="AL917" s="109"/>
      <c r="AM917" s="109"/>
      <c r="AN917" s="109"/>
      <c r="AO917" s="109"/>
      <c r="AP917" s="109"/>
      <c r="AQ917" s="109"/>
      <c r="AR917" s="109"/>
      <c r="AS917" s="109"/>
      <c r="AT917" s="109"/>
      <c r="AU917" s="109"/>
    </row>
    <row r="918" spans="1:47" ht="14.25" customHeight="1" x14ac:dyDescent="0.3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  <c r="AD918" s="109"/>
      <c r="AE918" s="109"/>
      <c r="AF918" s="109"/>
      <c r="AG918" s="109"/>
      <c r="AH918" s="109"/>
      <c r="AI918" s="109"/>
      <c r="AJ918" s="109"/>
      <c r="AK918" s="109"/>
      <c r="AL918" s="109"/>
      <c r="AM918" s="109"/>
      <c r="AN918" s="109"/>
      <c r="AO918" s="109"/>
      <c r="AP918" s="109"/>
      <c r="AQ918" s="109"/>
      <c r="AR918" s="109"/>
      <c r="AS918" s="109"/>
      <c r="AT918" s="109"/>
      <c r="AU918" s="109"/>
    </row>
    <row r="919" spans="1:47" ht="14.25" customHeight="1" x14ac:dyDescent="0.3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09"/>
      <c r="AG919" s="109"/>
      <c r="AH919" s="109"/>
      <c r="AI919" s="109"/>
      <c r="AJ919" s="109"/>
      <c r="AK919" s="109"/>
      <c r="AL919" s="109"/>
      <c r="AM919" s="109"/>
      <c r="AN919" s="109"/>
      <c r="AO919" s="109"/>
      <c r="AP919" s="109"/>
      <c r="AQ919" s="109"/>
      <c r="AR919" s="109"/>
      <c r="AS919" s="109"/>
      <c r="AT919" s="109"/>
      <c r="AU919" s="109"/>
    </row>
    <row r="920" spans="1:47" ht="14.25" customHeight="1" x14ac:dyDescent="0.3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09"/>
      <c r="AG920" s="109"/>
      <c r="AH920" s="109"/>
      <c r="AI920" s="109"/>
      <c r="AJ920" s="109"/>
      <c r="AK920" s="109"/>
      <c r="AL920" s="109"/>
      <c r="AM920" s="109"/>
      <c r="AN920" s="109"/>
      <c r="AO920" s="109"/>
      <c r="AP920" s="109"/>
      <c r="AQ920" s="109"/>
      <c r="AR920" s="109"/>
      <c r="AS920" s="109"/>
      <c r="AT920" s="109"/>
      <c r="AU920" s="109"/>
    </row>
    <row r="921" spans="1:47" ht="14.25" customHeight="1" x14ac:dyDescent="0.3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/>
      <c r="AL921" s="109"/>
      <c r="AM921" s="109"/>
      <c r="AN921" s="109"/>
      <c r="AO921" s="109"/>
      <c r="AP921" s="109"/>
      <c r="AQ921" s="109"/>
      <c r="AR921" s="109"/>
      <c r="AS921" s="109"/>
      <c r="AT921" s="109"/>
      <c r="AU921" s="109"/>
    </row>
    <row r="922" spans="1:47" ht="14.25" customHeight="1" x14ac:dyDescent="0.3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09"/>
      <c r="AG922" s="109"/>
      <c r="AH922" s="109"/>
      <c r="AI922" s="109"/>
      <c r="AJ922" s="109"/>
      <c r="AK922" s="109"/>
      <c r="AL922" s="109"/>
      <c r="AM922" s="109"/>
      <c r="AN922" s="109"/>
      <c r="AO922" s="109"/>
      <c r="AP922" s="109"/>
      <c r="AQ922" s="109"/>
      <c r="AR922" s="109"/>
      <c r="AS922" s="109"/>
      <c r="AT922" s="109"/>
      <c r="AU922" s="109"/>
    </row>
    <row r="923" spans="1:47" ht="14.25" customHeight="1" x14ac:dyDescent="0.3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09"/>
      <c r="AL923" s="109"/>
      <c r="AM923" s="109"/>
      <c r="AN923" s="109"/>
      <c r="AO923" s="109"/>
      <c r="AP923" s="109"/>
      <c r="AQ923" s="109"/>
      <c r="AR923" s="109"/>
      <c r="AS923" s="109"/>
      <c r="AT923" s="109"/>
      <c r="AU923" s="109"/>
    </row>
    <row r="924" spans="1:47" ht="14.25" customHeight="1" x14ac:dyDescent="0.3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09"/>
      <c r="AG924" s="109"/>
      <c r="AH924" s="109"/>
      <c r="AI924" s="109"/>
      <c r="AJ924" s="109"/>
      <c r="AK924" s="109"/>
      <c r="AL924" s="109"/>
      <c r="AM924" s="109"/>
      <c r="AN924" s="109"/>
      <c r="AO924" s="109"/>
      <c r="AP924" s="109"/>
      <c r="AQ924" s="109"/>
      <c r="AR924" s="109"/>
      <c r="AS924" s="109"/>
      <c r="AT924" s="109"/>
      <c r="AU924" s="109"/>
    </row>
    <row r="925" spans="1:47" ht="14.25" customHeight="1" x14ac:dyDescent="0.3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09"/>
      <c r="AG925" s="109"/>
      <c r="AH925" s="109"/>
      <c r="AI925" s="109"/>
      <c r="AJ925" s="109"/>
      <c r="AK925" s="109"/>
      <c r="AL925" s="109"/>
      <c r="AM925" s="109"/>
      <c r="AN925" s="109"/>
      <c r="AO925" s="109"/>
      <c r="AP925" s="109"/>
      <c r="AQ925" s="109"/>
      <c r="AR925" s="109"/>
      <c r="AS925" s="109"/>
      <c r="AT925" s="109"/>
      <c r="AU925" s="109"/>
    </row>
    <row r="926" spans="1:47" ht="14.25" customHeight="1" x14ac:dyDescent="0.3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09"/>
      <c r="AG926" s="109"/>
      <c r="AH926" s="109"/>
      <c r="AI926" s="109"/>
      <c r="AJ926" s="109"/>
      <c r="AK926" s="109"/>
      <c r="AL926" s="109"/>
      <c r="AM926" s="109"/>
      <c r="AN926" s="109"/>
      <c r="AO926" s="109"/>
      <c r="AP926" s="109"/>
      <c r="AQ926" s="109"/>
      <c r="AR926" s="109"/>
      <c r="AS926" s="109"/>
      <c r="AT926" s="109"/>
      <c r="AU926" s="109"/>
    </row>
    <row r="927" spans="1:47" ht="14.25" customHeight="1" x14ac:dyDescent="0.3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09"/>
      <c r="AG927" s="109"/>
      <c r="AH927" s="109"/>
      <c r="AI927" s="109"/>
      <c r="AJ927" s="109"/>
      <c r="AK927" s="109"/>
      <c r="AL927" s="109"/>
      <c r="AM927" s="109"/>
      <c r="AN927" s="109"/>
      <c r="AO927" s="109"/>
      <c r="AP927" s="109"/>
      <c r="AQ927" s="109"/>
      <c r="AR927" s="109"/>
      <c r="AS927" s="109"/>
      <c r="AT927" s="109"/>
      <c r="AU927" s="109"/>
    </row>
    <row r="928" spans="1:47" ht="14.25" customHeight="1" x14ac:dyDescent="0.3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09"/>
      <c r="AG928" s="109"/>
      <c r="AH928" s="109"/>
      <c r="AI928" s="109"/>
      <c r="AJ928" s="109"/>
      <c r="AK928" s="109"/>
      <c r="AL928" s="109"/>
      <c r="AM928" s="109"/>
      <c r="AN928" s="109"/>
      <c r="AO928" s="109"/>
      <c r="AP928" s="109"/>
      <c r="AQ928" s="109"/>
      <c r="AR928" s="109"/>
      <c r="AS928" s="109"/>
      <c r="AT928" s="109"/>
      <c r="AU928" s="109"/>
    </row>
    <row r="929" spans="1:47" ht="14.25" customHeight="1" x14ac:dyDescent="0.3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09"/>
      <c r="AG929" s="109"/>
      <c r="AH929" s="109"/>
      <c r="AI929" s="109"/>
      <c r="AJ929" s="109"/>
      <c r="AK929" s="109"/>
      <c r="AL929" s="109"/>
      <c r="AM929" s="109"/>
      <c r="AN929" s="109"/>
      <c r="AO929" s="109"/>
      <c r="AP929" s="109"/>
      <c r="AQ929" s="109"/>
      <c r="AR929" s="109"/>
      <c r="AS929" s="109"/>
      <c r="AT929" s="109"/>
      <c r="AU929" s="109"/>
    </row>
    <row r="930" spans="1:47" ht="14.25" customHeight="1" x14ac:dyDescent="0.3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09"/>
      <c r="AG930" s="109"/>
      <c r="AH930" s="109"/>
      <c r="AI930" s="109"/>
      <c r="AJ930" s="109"/>
      <c r="AK930" s="109"/>
      <c r="AL930" s="109"/>
      <c r="AM930" s="109"/>
      <c r="AN930" s="109"/>
      <c r="AO930" s="109"/>
      <c r="AP930" s="109"/>
      <c r="AQ930" s="109"/>
      <c r="AR930" s="109"/>
      <c r="AS930" s="109"/>
      <c r="AT930" s="109"/>
      <c r="AU930" s="109"/>
    </row>
    <row r="931" spans="1:47" ht="14.25" customHeight="1" x14ac:dyDescent="0.3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/>
      <c r="AL931" s="109"/>
      <c r="AM931" s="109"/>
      <c r="AN931" s="109"/>
      <c r="AO931" s="109"/>
      <c r="AP931" s="109"/>
      <c r="AQ931" s="109"/>
      <c r="AR931" s="109"/>
      <c r="AS931" s="109"/>
      <c r="AT931" s="109"/>
      <c r="AU931" s="109"/>
    </row>
    <row r="932" spans="1:47" ht="14.25" customHeight="1" x14ac:dyDescent="0.3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09"/>
      <c r="AG932" s="109"/>
      <c r="AH932" s="109"/>
      <c r="AI932" s="109"/>
      <c r="AJ932" s="109"/>
      <c r="AK932" s="109"/>
      <c r="AL932" s="109"/>
      <c r="AM932" s="109"/>
      <c r="AN932" s="109"/>
      <c r="AO932" s="109"/>
      <c r="AP932" s="109"/>
      <c r="AQ932" s="109"/>
      <c r="AR932" s="109"/>
      <c r="AS932" s="109"/>
      <c r="AT932" s="109"/>
      <c r="AU932" s="109"/>
    </row>
    <row r="933" spans="1:47" ht="14.25" customHeight="1" x14ac:dyDescent="0.3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09"/>
      <c r="AG933" s="109"/>
      <c r="AH933" s="109"/>
      <c r="AI933" s="109"/>
      <c r="AJ933" s="109"/>
      <c r="AK933" s="109"/>
      <c r="AL933" s="109"/>
      <c r="AM933" s="109"/>
      <c r="AN933" s="109"/>
      <c r="AO933" s="109"/>
      <c r="AP933" s="109"/>
      <c r="AQ933" s="109"/>
      <c r="AR933" s="109"/>
      <c r="AS933" s="109"/>
      <c r="AT933" s="109"/>
      <c r="AU933" s="109"/>
    </row>
    <row r="934" spans="1:47" ht="14.25" customHeight="1" x14ac:dyDescent="0.3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09"/>
      <c r="AG934" s="109"/>
      <c r="AH934" s="109"/>
      <c r="AI934" s="109"/>
      <c r="AJ934" s="109"/>
      <c r="AK934" s="109"/>
      <c r="AL934" s="109"/>
      <c r="AM934" s="109"/>
      <c r="AN934" s="109"/>
      <c r="AO934" s="109"/>
      <c r="AP934" s="109"/>
      <c r="AQ934" s="109"/>
      <c r="AR934" s="109"/>
      <c r="AS934" s="109"/>
      <c r="AT934" s="109"/>
      <c r="AU934" s="109"/>
    </row>
    <row r="935" spans="1:47" ht="14.25" customHeight="1" x14ac:dyDescent="0.3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/>
      <c r="AL935" s="109"/>
      <c r="AM935" s="109"/>
      <c r="AN935" s="109"/>
      <c r="AO935" s="109"/>
      <c r="AP935" s="109"/>
      <c r="AQ935" s="109"/>
      <c r="AR935" s="109"/>
      <c r="AS935" s="109"/>
      <c r="AT935" s="109"/>
      <c r="AU935" s="109"/>
    </row>
    <row r="936" spans="1:47" ht="14.25" customHeight="1" x14ac:dyDescent="0.3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09"/>
      <c r="AG936" s="109"/>
      <c r="AH936" s="109"/>
      <c r="AI936" s="109"/>
      <c r="AJ936" s="109"/>
      <c r="AK936" s="109"/>
      <c r="AL936" s="109"/>
      <c r="AM936" s="109"/>
      <c r="AN936" s="109"/>
      <c r="AO936" s="109"/>
      <c r="AP936" s="109"/>
      <c r="AQ936" s="109"/>
      <c r="AR936" s="109"/>
      <c r="AS936" s="109"/>
      <c r="AT936" s="109"/>
      <c r="AU936" s="109"/>
    </row>
    <row r="937" spans="1:47" ht="14.25" customHeight="1" x14ac:dyDescent="0.3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09"/>
      <c r="AG937" s="109"/>
      <c r="AH937" s="109"/>
      <c r="AI937" s="109"/>
      <c r="AJ937" s="109"/>
      <c r="AK937" s="109"/>
      <c r="AL937" s="109"/>
      <c r="AM937" s="109"/>
      <c r="AN937" s="109"/>
      <c r="AO937" s="109"/>
      <c r="AP937" s="109"/>
      <c r="AQ937" s="109"/>
      <c r="AR937" s="109"/>
      <c r="AS937" s="109"/>
      <c r="AT937" s="109"/>
      <c r="AU937" s="109"/>
    </row>
    <row r="938" spans="1:47" ht="14.25" customHeight="1" x14ac:dyDescent="0.3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09"/>
      <c r="AG938" s="109"/>
      <c r="AH938" s="109"/>
      <c r="AI938" s="109"/>
      <c r="AJ938" s="109"/>
      <c r="AK938" s="109"/>
      <c r="AL938" s="109"/>
      <c r="AM938" s="109"/>
      <c r="AN938" s="109"/>
      <c r="AO938" s="109"/>
      <c r="AP938" s="109"/>
      <c r="AQ938" s="109"/>
      <c r="AR938" s="109"/>
      <c r="AS938" s="109"/>
      <c r="AT938" s="109"/>
      <c r="AU938" s="109"/>
    </row>
    <row r="939" spans="1:47" ht="14.25" customHeight="1" x14ac:dyDescent="0.3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  <c r="AD939" s="109"/>
      <c r="AE939" s="109"/>
      <c r="AF939" s="109"/>
      <c r="AG939" s="109"/>
      <c r="AH939" s="109"/>
      <c r="AI939" s="109"/>
      <c r="AJ939" s="109"/>
      <c r="AK939" s="109"/>
      <c r="AL939" s="109"/>
      <c r="AM939" s="109"/>
      <c r="AN939" s="109"/>
      <c r="AO939" s="109"/>
      <c r="AP939" s="109"/>
      <c r="AQ939" s="109"/>
      <c r="AR939" s="109"/>
      <c r="AS939" s="109"/>
      <c r="AT939" s="109"/>
      <c r="AU939" s="109"/>
    </row>
    <row r="940" spans="1:47" ht="14.25" customHeight="1" x14ac:dyDescent="0.3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09"/>
      <c r="AG940" s="109"/>
      <c r="AH940" s="109"/>
      <c r="AI940" s="109"/>
      <c r="AJ940" s="109"/>
      <c r="AK940" s="109"/>
      <c r="AL940" s="109"/>
      <c r="AM940" s="109"/>
      <c r="AN940" s="109"/>
      <c r="AO940" s="109"/>
      <c r="AP940" s="109"/>
      <c r="AQ940" s="109"/>
      <c r="AR940" s="109"/>
      <c r="AS940" s="109"/>
      <c r="AT940" s="109"/>
      <c r="AU940" s="109"/>
    </row>
    <row r="941" spans="1:47" ht="14.25" customHeight="1" x14ac:dyDescent="0.3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09"/>
      <c r="AG941" s="109"/>
      <c r="AH941" s="109"/>
      <c r="AI941" s="109"/>
      <c r="AJ941" s="109"/>
      <c r="AK941" s="109"/>
      <c r="AL941" s="109"/>
      <c r="AM941" s="109"/>
      <c r="AN941" s="109"/>
      <c r="AO941" s="109"/>
      <c r="AP941" s="109"/>
      <c r="AQ941" s="109"/>
      <c r="AR941" s="109"/>
      <c r="AS941" s="109"/>
      <c r="AT941" s="109"/>
      <c r="AU941" s="109"/>
    </row>
    <row r="942" spans="1:47" ht="14.25" customHeight="1" x14ac:dyDescent="0.3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  <c r="AD942" s="109"/>
      <c r="AE942" s="109"/>
      <c r="AF942" s="109"/>
      <c r="AG942" s="109"/>
      <c r="AH942" s="109"/>
      <c r="AI942" s="109"/>
      <c r="AJ942" s="109"/>
      <c r="AK942" s="109"/>
      <c r="AL942" s="109"/>
      <c r="AM942" s="109"/>
      <c r="AN942" s="109"/>
      <c r="AO942" s="109"/>
      <c r="AP942" s="109"/>
      <c r="AQ942" s="109"/>
      <c r="AR942" s="109"/>
      <c r="AS942" s="109"/>
      <c r="AT942" s="109"/>
      <c r="AU942" s="109"/>
    </row>
    <row r="943" spans="1:47" ht="14.25" customHeight="1" x14ac:dyDescent="0.3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09"/>
      <c r="AG943" s="109"/>
      <c r="AH943" s="109"/>
      <c r="AI943" s="109"/>
      <c r="AJ943" s="109"/>
      <c r="AK943" s="109"/>
      <c r="AL943" s="109"/>
      <c r="AM943" s="109"/>
      <c r="AN943" s="109"/>
      <c r="AO943" s="109"/>
      <c r="AP943" s="109"/>
      <c r="AQ943" s="109"/>
      <c r="AR943" s="109"/>
      <c r="AS943" s="109"/>
      <c r="AT943" s="109"/>
      <c r="AU943" s="109"/>
    </row>
    <row r="944" spans="1:47" ht="14.25" customHeight="1" x14ac:dyDescent="0.3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09"/>
      <c r="AG944" s="109"/>
      <c r="AH944" s="109"/>
      <c r="AI944" s="109"/>
      <c r="AJ944" s="109"/>
      <c r="AK944" s="109"/>
      <c r="AL944" s="109"/>
      <c r="AM944" s="109"/>
      <c r="AN944" s="109"/>
      <c r="AO944" s="109"/>
      <c r="AP944" s="109"/>
      <c r="AQ944" s="109"/>
      <c r="AR944" s="109"/>
      <c r="AS944" s="109"/>
      <c r="AT944" s="109"/>
      <c r="AU944" s="109"/>
    </row>
    <row r="945" spans="1:47" ht="14.25" customHeight="1" x14ac:dyDescent="0.3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09"/>
      <c r="AG945" s="109"/>
      <c r="AH945" s="109"/>
      <c r="AI945" s="109"/>
      <c r="AJ945" s="109"/>
      <c r="AK945" s="109"/>
      <c r="AL945" s="109"/>
      <c r="AM945" s="109"/>
      <c r="AN945" s="109"/>
      <c r="AO945" s="109"/>
      <c r="AP945" s="109"/>
      <c r="AQ945" s="109"/>
      <c r="AR945" s="109"/>
      <c r="AS945" s="109"/>
      <c r="AT945" s="109"/>
      <c r="AU945" s="109"/>
    </row>
    <row r="946" spans="1:47" ht="14.25" customHeight="1" x14ac:dyDescent="0.3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09"/>
      <c r="AG946" s="109"/>
      <c r="AH946" s="109"/>
      <c r="AI946" s="109"/>
      <c r="AJ946" s="109"/>
      <c r="AK946" s="109"/>
      <c r="AL946" s="109"/>
      <c r="AM946" s="109"/>
      <c r="AN946" s="109"/>
      <c r="AO946" s="109"/>
      <c r="AP946" s="109"/>
      <c r="AQ946" s="109"/>
      <c r="AR946" s="109"/>
      <c r="AS946" s="109"/>
      <c r="AT946" s="109"/>
      <c r="AU946" s="109"/>
    </row>
    <row r="947" spans="1:47" ht="14.25" customHeight="1" x14ac:dyDescent="0.3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  <c r="AD947" s="109"/>
      <c r="AE947" s="109"/>
      <c r="AF947" s="109"/>
      <c r="AG947" s="109"/>
      <c r="AH947" s="109"/>
      <c r="AI947" s="109"/>
      <c r="AJ947" s="109"/>
      <c r="AK947" s="109"/>
      <c r="AL947" s="109"/>
      <c r="AM947" s="109"/>
      <c r="AN947" s="109"/>
      <c r="AO947" s="109"/>
      <c r="AP947" s="109"/>
      <c r="AQ947" s="109"/>
      <c r="AR947" s="109"/>
      <c r="AS947" s="109"/>
      <c r="AT947" s="109"/>
      <c r="AU947" s="109"/>
    </row>
    <row r="948" spans="1:47" ht="14.25" customHeight="1" x14ac:dyDescent="0.3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  <c r="AD948" s="109"/>
      <c r="AE948" s="109"/>
      <c r="AF948" s="109"/>
      <c r="AG948" s="109"/>
      <c r="AH948" s="109"/>
      <c r="AI948" s="109"/>
      <c r="AJ948" s="109"/>
      <c r="AK948" s="109"/>
      <c r="AL948" s="109"/>
      <c r="AM948" s="109"/>
      <c r="AN948" s="109"/>
      <c r="AO948" s="109"/>
      <c r="AP948" s="109"/>
      <c r="AQ948" s="109"/>
      <c r="AR948" s="109"/>
      <c r="AS948" s="109"/>
      <c r="AT948" s="109"/>
      <c r="AU948" s="109"/>
    </row>
    <row r="949" spans="1:47" ht="14.25" customHeight="1" x14ac:dyDescent="0.3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  <c r="AD949" s="109"/>
      <c r="AE949" s="109"/>
      <c r="AF949" s="109"/>
      <c r="AG949" s="109"/>
      <c r="AH949" s="109"/>
      <c r="AI949" s="109"/>
      <c r="AJ949" s="109"/>
      <c r="AK949" s="109"/>
      <c r="AL949" s="109"/>
      <c r="AM949" s="109"/>
      <c r="AN949" s="109"/>
      <c r="AO949" s="109"/>
      <c r="AP949" s="109"/>
      <c r="AQ949" s="109"/>
      <c r="AR949" s="109"/>
      <c r="AS949" s="109"/>
      <c r="AT949" s="109"/>
      <c r="AU949" s="109"/>
    </row>
    <row r="950" spans="1:47" ht="14.25" customHeight="1" x14ac:dyDescent="0.3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  <c r="AD950" s="109"/>
      <c r="AE950" s="109"/>
      <c r="AF950" s="109"/>
      <c r="AG950" s="109"/>
      <c r="AH950" s="109"/>
      <c r="AI950" s="109"/>
      <c r="AJ950" s="109"/>
      <c r="AK950" s="109"/>
      <c r="AL950" s="109"/>
      <c r="AM950" s="109"/>
      <c r="AN950" s="109"/>
      <c r="AO950" s="109"/>
      <c r="AP950" s="109"/>
      <c r="AQ950" s="109"/>
      <c r="AR950" s="109"/>
      <c r="AS950" s="109"/>
      <c r="AT950" s="109"/>
      <c r="AU950" s="109"/>
    </row>
    <row r="951" spans="1:47" ht="14.25" customHeight="1" x14ac:dyDescent="0.3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  <c r="AA951" s="109"/>
      <c r="AB951" s="109"/>
      <c r="AC951" s="109"/>
      <c r="AD951" s="109"/>
      <c r="AE951" s="109"/>
      <c r="AF951" s="109"/>
      <c r="AG951" s="109"/>
      <c r="AH951" s="109"/>
      <c r="AI951" s="109"/>
      <c r="AJ951" s="109"/>
      <c r="AK951" s="109"/>
      <c r="AL951" s="109"/>
      <c r="AM951" s="109"/>
      <c r="AN951" s="109"/>
      <c r="AO951" s="109"/>
      <c r="AP951" s="109"/>
      <c r="AQ951" s="109"/>
      <c r="AR951" s="109"/>
      <c r="AS951" s="109"/>
      <c r="AT951" s="109"/>
      <c r="AU951" s="109"/>
    </row>
    <row r="952" spans="1:47" ht="14.25" customHeight="1" x14ac:dyDescent="0.3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  <c r="AB952" s="109"/>
      <c r="AC952" s="109"/>
      <c r="AD952" s="109"/>
      <c r="AE952" s="109"/>
      <c r="AF952" s="109"/>
      <c r="AG952" s="109"/>
      <c r="AH952" s="109"/>
      <c r="AI952" s="109"/>
      <c r="AJ952" s="109"/>
      <c r="AK952" s="109"/>
      <c r="AL952" s="109"/>
      <c r="AM952" s="109"/>
      <c r="AN952" s="109"/>
      <c r="AO952" s="109"/>
      <c r="AP952" s="109"/>
      <c r="AQ952" s="109"/>
      <c r="AR952" s="109"/>
      <c r="AS952" s="109"/>
      <c r="AT952" s="109"/>
      <c r="AU952" s="109"/>
    </row>
    <row r="953" spans="1:47" ht="14.25" customHeight="1" x14ac:dyDescent="0.3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  <c r="AD953" s="109"/>
      <c r="AE953" s="109"/>
      <c r="AF953" s="109"/>
      <c r="AG953" s="109"/>
      <c r="AH953" s="109"/>
      <c r="AI953" s="109"/>
      <c r="AJ953" s="109"/>
      <c r="AK953" s="109"/>
      <c r="AL953" s="109"/>
      <c r="AM953" s="109"/>
      <c r="AN953" s="109"/>
      <c r="AO953" s="109"/>
      <c r="AP953" s="109"/>
      <c r="AQ953" s="109"/>
      <c r="AR953" s="109"/>
      <c r="AS953" s="109"/>
      <c r="AT953" s="109"/>
      <c r="AU953" s="109"/>
    </row>
    <row r="954" spans="1:47" ht="14.25" customHeight="1" x14ac:dyDescent="0.3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  <c r="AD954" s="109"/>
      <c r="AE954" s="109"/>
      <c r="AF954" s="109"/>
      <c r="AG954" s="109"/>
      <c r="AH954" s="109"/>
      <c r="AI954" s="109"/>
      <c r="AJ954" s="109"/>
      <c r="AK954" s="109"/>
      <c r="AL954" s="109"/>
      <c r="AM954" s="109"/>
      <c r="AN954" s="109"/>
      <c r="AO954" s="109"/>
      <c r="AP954" s="109"/>
      <c r="AQ954" s="109"/>
      <c r="AR954" s="109"/>
      <c r="AS954" s="109"/>
      <c r="AT954" s="109"/>
      <c r="AU954" s="109"/>
    </row>
    <row r="955" spans="1:47" ht="14.25" customHeight="1" x14ac:dyDescent="0.3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  <c r="AD955" s="109"/>
      <c r="AE955" s="109"/>
      <c r="AF955" s="109"/>
      <c r="AG955" s="109"/>
      <c r="AH955" s="109"/>
      <c r="AI955" s="109"/>
      <c r="AJ955" s="109"/>
      <c r="AK955" s="109"/>
      <c r="AL955" s="109"/>
      <c r="AM955" s="109"/>
      <c r="AN955" s="109"/>
      <c r="AO955" s="109"/>
      <c r="AP955" s="109"/>
      <c r="AQ955" s="109"/>
      <c r="AR955" s="109"/>
      <c r="AS955" s="109"/>
      <c r="AT955" s="109"/>
      <c r="AU955" s="109"/>
    </row>
    <row r="956" spans="1:47" ht="14.25" customHeight="1" x14ac:dyDescent="0.3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  <c r="AD956" s="109"/>
      <c r="AE956" s="109"/>
      <c r="AF956" s="109"/>
      <c r="AG956" s="109"/>
      <c r="AH956" s="109"/>
      <c r="AI956" s="109"/>
      <c r="AJ956" s="109"/>
      <c r="AK956" s="109"/>
      <c r="AL956" s="109"/>
      <c r="AM956" s="109"/>
      <c r="AN956" s="109"/>
      <c r="AO956" s="109"/>
      <c r="AP956" s="109"/>
      <c r="AQ956" s="109"/>
      <c r="AR956" s="109"/>
      <c r="AS956" s="109"/>
      <c r="AT956" s="109"/>
      <c r="AU956" s="109"/>
    </row>
    <row r="957" spans="1:47" ht="14.25" customHeight="1" x14ac:dyDescent="0.3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  <c r="AD957" s="109"/>
      <c r="AE957" s="109"/>
      <c r="AF957" s="109"/>
      <c r="AG957" s="109"/>
      <c r="AH957" s="109"/>
      <c r="AI957" s="109"/>
      <c r="AJ957" s="109"/>
      <c r="AK957" s="109"/>
      <c r="AL957" s="109"/>
      <c r="AM957" s="109"/>
      <c r="AN957" s="109"/>
      <c r="AO957" s="109"/>
      <c r="AP957" s="109"/>
      <c r="AQ957" s="109"/>
      <c r="AR957" s="109"/>
      <c r="AS957" s="109"/>
      <c r="AT957" s="109"/>
      <c r="AU957" s="109"/>
    </row>
    <row r="958" spans="1:47" ht="14.25" customHeight="1" x14ac:dyDescent="0.3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09"/>
      <c r="AC958" s="109"/>
      <c r="AD958" s="109"/>
      <c r="AE958" s="109"/>
      <c r="AF958" s="109"/>
      <c r="AG958" s="109"/>
      <c r="AH958" s="109"/>
      <c r="AI958" s="109"/>
      <c r="AJ958" s="109"/>
      <c r="AK958" s="109"/>
      <c r="AL958" s="109"/>
      <c r="AM958" s="109"/>
      <c r="AN958" s="109"/>
      <c r="AO958" s="109"/>
      <c r="AP958" s="109"/>
      <c r="AQ958" s="109"/>
      <c r="AR958" s="109"/>
      <c r="AS958" s="109"/>
      <c r="AT958" s="109"/>
      <c r="AU958" s="109"/>
    </row>
    <row r="959" spans="1:47" ht="14.25" customHeight="1" x14ac:dyDescent="0.3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  <c r="AD959" s="109"/>
      <c r="AE959" s="109"/>
      <c r="AF959" s="109"/>
      <c r="AG959" s="109"/>
      <c r="AH959" s="109"/>
      <c r="AI959" s="109"/>
      <c r="AJ959" s="109"/>
      <c r="AK959" s="109"/>
      <c r="AL959" s="109"/>
      <c r="AM959" s="109"/>
      <c r="AN959" s="109"/>
      <c r="AO959" s="109"/>
      <c r="AP959" s="109"/>
      <c r="AQ959" s="109"/>
      <c r="AR959" s="109"/>
      <c r="AS959" s="109"/>
      <c r="AT959" s="109"/>
      <c r="AU959" s="109"/>
    </row>
    <row r="960" spans="1:47" ht="14.25" customHeight="1" x14ac:dyDescent="0.3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  <c r="AD960" s="109"/>
      <c r="AE960" s="109"/>
      <c r="AF960" s="109"/>
      <c r="AG960" s="109"/>
      <c r="AH960" s="109"/>
      <c r="AI960" s="109"/>
      <c r="AJ960" s="109"/>
      <c r="AK960" s="109"/>
      <c r="AL960" s="109"/>
      <c r="AM960" s="109"/>
      <c r="AN960" s="109"/>
      <c r="AO960" s="109"/>
      <c r="AP960" s="109"/>
      <c r="AQ960" s="109"/>
      <c r="AR960" s="109"/>
      <c r="AS960" s="109"/>
      <c r="AT960" s="109"/>
      <c r="AU960" s="109"/>
    </row>
    <row r="961" spans="1:47" ht="14.25" customHeight="1" x14ac:dyDescent="0.3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  <c r="AD961" s="109"/>
      <c r="AE961" s="109"/>
      <c r="AF961" s="109"/>
      <c r="AG961" s="109"/>
      <c r="AH961" s="109"/>
      <c r="AI961" s="109"/>
      <c r="AJ961" s="109"/>
      <c r="AK961" s="109"/>
      <c r="AL961" s="109"/>
      <c r="AM961" s="109"/>
      <c r="AN961" s="109"/>
      <c r="AO961" s="109"/>
      <c r="AP961" s="109"/>
      <c r="AQ961" s="109"/>
      <c r="AR961" s="109"/>
      <c r="AS961" s="109"/>
      <c r="AT961" s="109"/>
      <c r="AU961" s="109"/>
    </row>
    <row r="962" spans="1:47" ht="14.25" customHeight="1" x14ac:dyDescent="0.3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  <c r="AD962" s="109"/>
      <c r="AE962" s="109"/>
      <c r="AF962" s="109"/>
      <c r="AG962" s="109"/>
      <c r="AH962" s="109"/>
      <c r="AI962" s="109"/>
      <c r="AJ962" s="109"/>
      <c r="AK962" s="109"/>
      <c r="AL962" s="109"/>
      <c r="AM962" s="109"/>
      <c r="AN962" s="109"/>
      <c r="AO962" s="109"/>
      <c r="AP962" s="109"/>
      <c r="AQ962" s="109"/>
      <c r="AR962" s="109"/>
      <c r="AS962" s="109"/>
      <c r="AT962" s="109"/>
      <c r="AU962" s="109"/>
    </row>
    <row r="963" spans="1:47" ht="14.25" customHeight="1" x14ac:dyDescent="0.3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  <c r="AD963" s="109"/>
      <c r="AE963" s="109"/>
      <c r="AF963" s="109"/>
      <c r="AG963" s="109"/>
      <c r="AH963" s="109"/>
      <c r="AI963" s="109"/>
      <c r="AJ963" s="109"/>
      <c r="AK963" s="109"/>
      <c r="AL963" s="109"/>
      <c r="AM963" s="109"/>
      <c r="AN963" s="109"/>
      <c r="AO963" s="109"/>
      <c r="AP963" s="109"/>
      <c r="AQ963" s="109"/>
      <c r="AR963" s="109"/>
      <c r="AS963" s="109"/>
      <c r="AT963" s="109"/>
      <c r="AU963" s="109"/>
    </row>
    <row r="964" spans="1:47" ht="14.25" customHeight="1" x14ac:dyDescent="0.3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  <c r="AD964" s="109"/>
      <c r="AE964" s="109"/>
      <c r="AF964" s="109"/>
      <c r="AG964" s="109"/>
      <c r="AH964" s="109"/>
      <c r="AI964" s="109"/>
      <c r="AJ964" s="109"/>
      <c r="AK964" s="109"/>
      <c r="AL964" s="109"/>
      <c r="AM964" s="109"/>
      <c r="AN964" s="109"/>
      <c r="AO964" s="109"/>
      <c r="AP964" s="109"/>
      <c r="AQ964" s="109"/>
      <c r="AR964" s="109"/>
      <c r="AS964" s="109"/>
      <c r="AT964" s="109"/>
      <c r="AU964" s="109"/>
    </row>
    <row r="965" spans="1:47" ht="14.25" customHeight="1" x14ac:dyDescent="0.3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  <c r="AD965" s="109"/>
      <c r="AE965" s="109"/>
      <c r="AF965" s="109"/>
      <c r="AG965" s="109"/>
      <c r="AH965" s="109"/>
      <c r="AI965" s="109"/>
      <c r="AJ965" s="109"/>
      <c r="AK965" s="109"/>
      <c r="AL965" s="109"/>
      <c r="AM965" s="109"/>
      <c r="AN965" s="109"/>
      <c r="AO965" s="109"/>
      <c r="AP965" s="109"/>
      <c r="AQ965" s="109"/>
      <c r="AR965" s="109"/>
      <c r="AS965" s="109"/>
      <c r="AT965" s="109"/>
      <c r="AU965" s="109"/>
    </row>
    <row r="966" spans="1:47" ht="14.25" customHeight="1" x14ac:dyDescent="0.3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  <c r="AD966" s="109"/>
      <c r="AE966" s="109"/>
      <c r="AF966" s="109"/>
      <c r="AG966" s="109"/>
      <c r="AH966" s="109"/>
      <c r="AI966" s="109"/>
      <c r="AJ966" s="109"/>
      <c r="AK966" s="109"/>
      <c r="AL966" s="109"/>
      <c r="AM966" s="109"/>
      <c r="AN966" s="109"/>
      <c r="AO966" s="109"/>
      <c r="AP966" s="109"/>
      <c r="AQ966" s="109"/>
      <c r="AR966" s="109"/>
      <c r="AS966" s="109"/>
      <c r="AT966" s="109"/>
      <c r="AU966" s="109"/>
    </row>
    <row r="967" spans="1:47" ht="14.25" customHeight="1" x14ac:dyDescent="0.3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  <c r="AD967" s="109"/>
      <c r="AE967" s="109"/>
      <c r="AF967" s="109"/>
      <c r="AG967" s="109"/>
      <c r="AH967" s="109"/>
      <c r="AI967" s="109"/>
      <c r="AJ967" s="109"/>
      <c r="AK967" s="109"/>
      <c r="AL967" s="109"/>
      <c r="AM967" s="109"/>
      <c r="AN967" s="109"/>
      <c r="AO967" s="109"/>
      <c r="AP967" s="109"/>
      <c r="AQ967" s="109"/>
      <c r="AR967" s="109"/>
      <c r="AS967" s="109"/>
      <c r="AT967" s="109"/>
      <c r="AU967" s="109"/>
    </row>
    <row r="968" spans="1:47" ht="14.25" customHeight="1" x14ac:dyDescent="0.3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  <c r="AD968" s="109"/>
      <c r="AE968" s="109"/>
      <c r="AF968" s="109"/>
      <c r="AG968" s="109"/>
      <c r="AH968" s="109"/>
      <c r="AI968" s="109"/>
      <c r="AJ968" s="109"/>
      <c r="AK968" s="109"/>
      <c r="AL968" s="109"/>
      <c r="AM968" s="109"/>
      <c r="AN968" s="109"/>
      <c r="AO968" s="109"/>
      <c r="AP968" s="109"/>
      <c r="AQ968" s="109"/>
      <c r="AR968" s="109"/>
      <c r="AS968" s="109"/>
      <c r="AT968" s="109"/>
      <c r="AU968" s="109"/>
    </row>
    <row r="969" spans="1:47" ht="14.25" customHeight="1" x14ac:dyDescent="0.3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09"/>
      <c r="AC969" s="109"/>
      <c r="AD969" s="109"/>
      <c r="AE969" s="109"/>
      <c r="AF969" s="109"/>
      <c r="AG969" s="109"/>
      <c r="AH969" s="109"/>
      <c r="AI969" s="109"/>
      <c r="AJ969" s="109"/>
      <c r="AK969" s="109"/>
      <c r="AL969" s="109"/>
      <c r="AM969" s="109"/>
      <c r="AN969" s="109"/>
      <c r="AO969" s="109"/>
      <c r="AP969" s="109"/>
      <c r="AQ969" s="109"/>
      <c r="AR969" s="109"/>
      <c r="AS969" s="109"/>
      <c r="AT969" s="109"/>
      <c r="AU969" s="109"/>
    </row>
    <row r="970" spans="1:47" ht="14.25" customHeight="1" x14ac:dyDescent="0.3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  <c r="AD970" s="109"/>
      <c r="AE970" s="109"/>
      <c r="AF970" s="109"/>
      <c r="AG970" s="109"/>
      <c r="AH970" s="109"/>
      <c r="AI970" s="109"/>
      <c r="AJ970" s="109"/>
      <c r="AK970" s="109"/>
      <c r="AL970" s="109"/>
      <c r="AM970" s="109"/>
      <c r="AN970" s="109"/>
      <c r="AO970" s="109"/>
      <c r="AP970" s="109"/>
      <c r="AQ970" s="109"/>
      <c r="AR970" s="109"/>
      <c r="AS970" s="109"/>
      <c r="AT970" s="109"/>
      <c r="AU970" s="109"/>
    </row>
    <row r="971" spans="1:47" ht="14.25" customHeight="1" x14ac:dyDescent="0.3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  <c r="AD971" s="109"/>
      <c r="AE971" s="109"/>
      <c r="AF971" s="109"/>
      <c r="AG971" s="109"/>
      <c r="AH971" s="109"/>
      <c r="AI971" s="109"/>
      <c r="AJ971" s="109"/>
      <c r="AK971" s="109"/>
      <c r="AL971" s="109"/>
      <c r="AM971" s="109"/>
      <c r="AN971" s="109"/>
      <c r="AO971" s="109"/>
      <c r="AP971" s="109"/>
      <c r="AQ971" s="109"/>
      <c r="AR971" s="109"/>
      <c r="AS971" s="109"/>
      <c r="AT971" s="109"/>
      <c r="AU971" s="109"/>
    </row>
    <row r="972" spans="1:47" ht="14.25" customHeight="1" x14ac:dyDescent="0.3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  <c r="AD972" s="109"/>
      <c r="AE972" s="109"/>
      <c r="AF972" s="109"/>
      <c r="AG972" s="109"/>
      <c r="AH972" s="109"/>
      <c r="AI972" s="109"/>
      <c r="AJ972" s="109"/>
      <c r="AK972" s="109"/>
      <c r="AL972" s="109"/>
      <c r="AM972" s="109"/>
      <c r="AN972" s="109"/>
      <c r="AO972" s="109"/>
      <c r="AP972" s="109"/>
      <c r="AQ972" s="109"/>
      <c r="AR972" s="109"/>
      <c r="AS972" s="109"/>
      <c r="AT972" s="109"/>
      <c r="AU972" s="109"/>
    </row>
    <row r="973" spans="1:47" ht="14.25" customHeight="1" x14ac:dyDescent="0.3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  <c r="AD973" s="109"/>
      <c r="AE973" s="109"/>
      <c r="AF973" s="109"/>
      <c r="AG973" s="109"/>
      <c r="AH973" s="109"/>
      <c r="AI973" s="109"/>
      <c r="AJ973" s="109"/>
      <c r="AK973" s="109"/>
      <c r="AL973" s="109"/>
      <c r="AM973" s="109"/>
      <c r="AN973" s="109"/>
      <c r="AO973" s="109"/>
      <c r="AP973" s="109"/>
      <c r="AQ973" s="109"/>
      <c r="AR973" s="109"/>
      <c r="AS973" s="109"/>
      <c r="AT973" s="109"/>
      <c r="AU973" s="109"/>
    </row>
    <row r="974" spans="1:47" ht="14.25" customHeight="1" x14ac:dyDescent="0.3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  <c r="AD974" s="109"/>
      <c r="AE974" s="109"/>
      <c r="AF974" s="109"/>
      <c r="AG974" s="109"/>
      <c r="AH974" s="109"/>
      <c r="AI974" s="109"/>
      <c r="AJ974" s="109"/>
      <c r="AK974" s="109"/>
      <c r="AL974" s="109"/>
      <c r="AM974" s="109"/>
      <c r="AN974" s="109"/>
      <c r="AO974" s="109"/>
      <c r="AP974" s="109"/>
      <c r="AQ974" s="109"/>
      <c r="AR974" s="109"/>
      <c r="AS974" s="109"/>
      <c r="AT974" s="109"/>
      <c r="AU974" s="109"/>
    </row>
    <row r="975" spans="1:47" ht="14.25" customHeight="1" x14ac:dyDescent="0.3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  <c r="AD975" s="109"/>
      <c r="AE975" s="109"/>
      <c r="AF975" s="109"/>
      <c r="AG975" s="109"/>
      <c r="AH975" s="109"/>
      <c r="AI975" s="109"/>
      <c r="AJ975" s="109"/>
      <c r="AK975" s="109"/>
      <c r="AL975" s="109"/>
      <c r="AM975" s="109"/>
      <c r="AN975" s="109"/>
      <c r="AO975" s="109"/>
      <c r="AP975" s="109"/>
      <c r="AQ975" s="109"/>
      <c r="AR975" s="109"/>
      <c r="AS975" s="109"/>
      <c r="AT975" s="109"/>
      <c r="AU975" s="109"/>
    </row>
    <row r="976" spans="1:47" ht="14.25" customHeight="1" x14ac:dyDescent="0.3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  <c r="AD976" s="109"/>
      <c r="AE976" s="109"/>
      <c r="AF976" s="109"/>
      <c r="AG976" s="109"/>
      <c r="AH976" s="109"/>
      <c r="AI976" s="109"/>
      <c r="AJ976" s="109"/>
      <c r="AK976" s="109"/>
      <c r="AL976" s="109"/>
      <c r="AM976" s="109"/>
      <c r="AN976" s="109"/>
      <c r="AO976" s="109"/>
      <c r="AP976" s="109"/>
      <c r="AQ976" s="109"/>
      <c r="AR976" s="109"/>
      <c r="AS976" s="109"/>
      <c r="AT976" s="109"/>
      <c r="AU976" s="109"/>
    </row>
    <row r="977" spans="1:47" ht="14.25" customHeight="1" x14ac:dyDescent="0.3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  <c r="AD977" s="109"/>
      <c r="AE977" s="109"/>
      <c r="AF977" s="109"/>
      <c r="AG977" s="109"/>
      <c r="AH977" s="109"/>
      <c r="AI977" s="109"/>
      <c r="AJ977" s="109"/>
      <c r="AK977" s="109"/>
      <c r="AL977" s="109"/>
      <c r="AM977" s="109"/>
      <c r="AN977" s="109"/>
      <c r="AO977" s="109"/>
      <c r="AP977" s="109"/>
      <c r="AQ977" s="109"/>
      <c r="AR977" s="109"/>
      <c r="AS977" s="109"/>
      <c r="AT977" s="109"/>
      <c r="AU977" s="109"/>
    </row>
    <row r="978" spans="1:47" ht="14.25" customHeight="1" x14ac:dyDescent="0.3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  <c r="AD978" s="109"/>
      <c r="AE978" s="109"/>
      <c r="AF978" s="109"/>
      <c r="AG978" s="109"/>
      <c r="AH978" s="109"/>
      <c r="AI978" s="109"/>
      <c r="AJ978" s="109"/>
      <c r="AK978" s="109"/>
      <c r="AL978" s="109"/>
      <c r="AM978" s="109"/>
      <c r="AN978" s="109"/>
      <c r="AO978" s="109"/>
      <c r="AP978" s="109"/>
      <c r="AQ978" s="109"/>
      <c r="AR978" s="109"/>
      <c r="AS978" s="109"/>
      <c r="AT978" s="109"/>
      <c r="AU978" s="109"/>
    </row>
    <row r="979" spans="1:47" ht="14.25" customHeight="1" x14ac:dyDescent="0.3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/>
      <c r="AL979" s="109"/>
      <c r="AM979" s="109"/>
      <c r="AN979" s="109"/>
      <c r="AO979" s="109"/>
      <c r="AP979" s="109"/>
      <c r="AQ979" s="109"/>
      <c r="AR979" s="109"/>
      <c r="AS979" s="109"/>
      <c r="AT979" s="109"/>
      <c r="AU979" s="109"/>
    </row>
    <row r="980" spans="1:47" ht="14.25" customHeight="1" x14ac:dyDescent="0.3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  <c r="AD980" s="109"/>
      <c r="AE980" s="109"/>
      <c r="AF980" s="109"/>
      <c r="AG980" s="109"/>
      <c r="AH980" s="109"/>
      <c r="AI980" s="109"/>
      <c r="AJ980" s="109"/>
      <c r="AK980" s="109"/>
      <c r="AL980" s="109"/>
      <c r="AM980" s="109"/>
      <c r="AN980" s="109"/>
      <c r="AO980" s="109"/>
      <c r="AP980" s="109"/>
      <c r="AQ980" s="109"/>
      <c r="AR980" s="109"/>
      <c r="AS980" s="109"/>
      <c r="AT980" s="109"/>
      <c r="AU980" s="109"/>
    </row>
    <row r="981" spans="1:47" ht="14.25" customHeight="1" x14ac:dyDescent="0.3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  <c r="AD981" s="109"/>
      <c r="AE981" s="109"/>
      <c r="AF981" s="109"/>
      <c r="AG981" s="109"/>
      <c r="AH981" s="109"/>
      <c r="AI981" s="109"/>
      <c r="AJ981" s="109"/>
      <c r="AK981" s="109"/>
      <c r="AL981" s="109"/>
      <c r="AM981" s="109"/>
      <c r="AN981" s="109"/>
      <c r="AO981" s="109"/>
      <c r="AP981" s="109"/>
      <c r="AQ981" s="109"/>
      <c r="AR981" s="109"/>
      <c r="AS981" s="109"/>
      <c r="AT981" s="109"/>
      <c r="AU981" s="109"/>
    </row>
    <row r="982" spans="1:47" ht="14.25" customHeight="1" x14ac:dyDescent="0.3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  <c r="AD982" s="109"/>
      <c r="AE982" s="109"/>
      <c r="AF982" s="109"/>
      <c r="AG982" s="109"/>
      <c r="AH982" s="109"/>
      <c r="AI982" s="109"/>
      <c r="AJ982" s="109"/>
      <c r="AK982" s="109"/>
      <c r="AL982" s="109"/>
      <c r="AM982" s="109"/>
      <c r="AN982" s="109"/>
      <c r="AO982" s="109"/>
      <c r="AP982" s="109"/>
      <c r="AQ982" s="109"/>
      <c r="AR982" s="109"/>
      <c r="AS982" s="109"/>
      <c r="AT982" s="109"/>
      <c r="AU982" s="109"/>
    </row>
    <row r="983" spans="1:47" ht="14.25" customHeight="1" x14ac:dyDescent="0.3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  <c r="AD983" s="109"/>
      <c r="AE983" s="109"/>
      <c r="AF983" s="109"/>
      <c r="AG983" s="109"/>
      <c r="AH983" s="109"/>
      <c r="AI983" s="109"/>
      <c r="AJ983" s="109"/>
      <c r="AK983" s="109"/>
      <c r="AL983" s="109"/>
      <c r="AM983" s="109"/>
      <c r="AN983" s="109"/>
      <c r="AO983" s="109"/>
      <c r="AP983" s="109"/>
      <c r="AQ983" s="109"/>
      <c r="AR983" s="109"/>
      <c r="AS983" s="109"/>
      <c r="AT983" s="109"/>
      <c r="AU983" s="109"/>
    </row>
    <row r="984" spans="1:47" ht="14.25" customHeight="1" x14ac:dyDescent="0.3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  <c r="AD984" s="109"/>
      <c r="AE984" s="109"/>
      <c r="AF984" s="109"/>
      <c r="AG984" s="109"/>
      <c r="AH984" s="109"/>
      <c r="AI984" s="109"/>
      <c r="AJ984" s="109"/>
      <c r="AK984" s="109"/>
      <c r="AL984" s="109"/>
      <c r="AM984" s="109"/>
      <c r="AN984" s="109"/>
      <c r="AO984" s="109"/>
      <c r="AP984" s="109"/>
      <c r="AQ984" s="109"/>
      <c r="AR984" s="109"/>
      <c r="AS984" s="109"/>
      <c r="AT984" s="109"/>
      <c r="AU984" s="109"/>
    </row>
    <row r="985" spans="1:47" ht="14.25" customHeight="1" x14ac:dyDescent="0.3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  <c r="AD985" s="109"/>
      <c r="AE985" s="109"/>
      <c r="AF985" s="109"/>
      <c r="AG985" s="109"/>
      <c r="AH985" s="109"/>
      <c r="AI985" s="109"/>
      <c r="AJ985" s="109"/>
      <c r="AK985" s="109"/>
      <c r="AL985" s="109"/>
      <c r="AM985" s="109"/>
      <c r="AN985" s="109"/>
      <c r="AO985" s="109"/>
      <c r="AP985" s="109"/>
      <c r="AQ985" s="109"/>
      <c r="AR985" s="109"/>
      <c r="AS985" s="109"/>
      <c r="AT985" s="109"/>
      <c r="AU985" s="109"/>
    </row>
    <row r="986" spans="1:47" ht="14" x14ac:dyDescent="0.3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  <c r="AD986" s="109"/>
      <c r="AE986" s="109"/>
      <c r="AF986" s="109"/>
      <c r="AG986" s="109"/>
      <c r="AH986" s="109"/>
      <c r="AI986" s="109"/>
      <c r="AJ986" s="109"/>
      <c r="AK986" s="109"/>
      <c r="AL986" s="109"/>
      <c r="AM986" s="109"/>
      <c r="AN986" s="109"/>
      <c r="AO986" s="109"/>
      <c r="AP986" s="109"/>
      <c r="AQ986" s="109"/>
      <c r="AR986" s="109"/>
      <c r="AS986" s="109"/>
      <c r="AT986" s="109"/>
      <c r="AU986" s="109"/>
    </row>
    <row r="987" spans="1:47" ht="14" x14ac:dyDescent="0.3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  <c r="AD987" s="109"/>
      <c r="AE987" s="109"/>
      <c r="AF987" s="109"/>
      <c r="AG987" s="109"/>
      <c r="AH987" s="109"/>
      <c r="AI987" s="109"/>
      <c r="AJ987" s="109"/>
      <c r="AK987" s="109"/>
      <c r="AL987" s="109"/>
      <c r="AM987" s="109"/>
      <c r="AN987" s="109"/>
      <c r="AO987" s="109"/>
      <c r="AP987" s="109"/>
      <c r="AQ987" s="109"/>
      <c r="AR987" s="109"/>
      <c r="AS987" s="109"/>
      <c r="AT987" s="109"/>
      <c r="AU987" s="109"/>
    </row>
    <row r="988" spans="1:47" ht="14" x14ac:dyDescent="0.3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  <c r="AD988" s="109"/>
      <c r="AE988" s="109"/>
      <c r="AF988" s="109"/>
      <c r="AG988" s="109"/>
      <c r="AH988" s="109"/>
      <c r="AI988" s="109"/>
      <c r="AJ988" s="109"/>
      <c r="AK988" s="109"/>
      <c r="AL988" s="109"/>
      <c r="AM988" s="109"/>
      <c r="AN988" s="109"/>
      <c r="AO988" s="109"/>
      <c r="AP988" s="109"/>
      <c r="AQ988" s="109"/>
      <c r="AR988" s="109"/>
      <c r="AS988" s="109"/>
      <c r="AT988" s="109"/>
      <c r="AU988" s="109"/>
    </row>
    <row r="989" spans="1:47" ht="14" x14ac:dyDescent="0.3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  <c r="AD989" s="109"/>
      <c r="AE989" s="109"/>
      <c r="AF989" s="109"/>
      <c r="AG989" s="109"/>
      <c r="AH989" s="109"/>
      <c r="AI989" s="109"/>
      <c r="AJ989" s="109"/>
      <c r="AK989" s="109"/>
      <c r="AL989" s="109"/>
      <c r="AM989" s="109"/>
      <c r="AN989" s="109"/>
      <c r="AO989" s="109"/>
      <c r="AP989" s="109"/>
      <c r="AQ989" s="109"/>
      <c r="AR989" s="109"/>
      <c r="AS989" s="109"/>
      <c r="AT989" s="109"/>
      <c r="AU989" s="109"/>
    </row>
    <row r="990" spans="1:47" ht="14" x14ac:dyDescent="0.3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  <c r="AD990" s="110"/>
      <c r="AE990" s="110"/>
      <c r="AF990" s="110"/>
      <c r="AG990" s="110"/>
      <c r="AH990" s="110"/>
      <c r="AI990" s="110"/>
      <c r="AJ990" s="110"/>
      <c r="AK990" s="110"/>
      <c r="AL990" s="110"/>
      <c r="AM990" s="110"/>
      <c r="AN990" s="110"/>
      <c r="AO990" s="110"/>
      <c r="AP990" s="110"/>
      <c r="AQ990" s="110"/>
      <c r="AR990" s="110"/>
      <c r="AS990" s="110"/>
      <c r="AT990" s="110"/>
      <c r="AU990" s="110"/>
    </row>
  </sheetData>
  <mergeCells count="49">
    <mergeCell ref="AR2:AR3"/>
    <mergeCell ref="Y2:Y3"/>
    <mergeCell ref="AI2:AI3"/>
    <mergeCell ref="AJ2:AJ3"/>
    <mergeCell ref="AK2:AK3"/>
    <mergeCell ref="AL2:AL3"/>
    <mergeCell ref="AM2:AM3"/>
    <mergeCell ref="AP2:AP3"/>
    <mergeCell ref="AU1:AU3"/>
    <mergeCell ref="AT2:AT3"/>
    <mergeCell ref="Z2:Z3"/>
    <mergeCell ref="AA2:AA3"/>
    <mergeCell ref="V1:AR1"/>
    <mergeCell ref="AS2:AS3"/>
    <mergeCell ref="AB2:AB3"/>
    <mergeCell ref="AC2:AC3"/>
    <mergeCell ref="AD2:AD3"/>
    <mergeCell ref="AE2:AE3"/>
    <mergeCell ref="AF2:AF3"/>
    <mergeCell ref="AG2:AG3"/>
    <mergeCell ref="AH2:AH3"/>
    <mergeCell ref="AN2:AN3"/>
    <mergeCell ref="AO2:AO3"/>
    <mergeCell ref="AQ2:AQ3"/>
    <mergeCell ref="T2:T3"/>
    <mergeCell ref="X2:X3"/>
    <mergeCell ref="Q2:Q3"/>
    <mergeCell ref="M2:M3"/>
    <mergeCell ref="N2:N3"/>
    <mergeCell ref="O2:O3"/>
    <mergeCell ref="P2:P3"/>
    <mergeCell ref="U2:U3"/>
    <mergeCell ref="V2:V3"/>
    <mergeCell ref="W2:W3"/>
    <mergeCell ref="J2:J3"/>
    <mergeCell ref="K2:K3"/>
    <mergeCell ref="C1:S1"/>
    <mergeCell ref="L2:L3"/>
    <mergeCell ref="F2:F3"/>
    <mergeCell ref="G2:G3"/>
    <mergeCell ref="H2:H3"/>
    <mergeCell ref="R2:S2"/>
    <mergeCell ref="G30:I30"/>
    <mergeCell ref="A1:A3"/>
    <mergeCell ref="B1:B3"/>
    <mergeCell ref="E2:E3"/>
    <mergeCell ref="C2:C3"/>
    <mergeCell ref="D2:D3"/>
    <mergeCell ref="I2:I3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4A86E8"/>
  </sheetPr>
  <dimension ref="A1:AU990"/>
  <sheetViews>
    <sheetView topLeftCell="A16" workbookViewId="0">
      <selection activeCell="C31" sqref="C31"/>
    </sheetView>
  </sheetViews>
  <sheetFormatPr defaultColWidth="12.58203125" defaultRowHeight="15" customHeight="1" x14ac:dyDescent="0.3"/>
  <cols>
    <col min="1" max="1" width="4.75" customWidth="1"/>
    <col min="2" max="2" width="19.58203125" customWidth="1"/>
    <col min="3" max="3" width="10.83203125" customWidth="1"/>
    <col min="4" max="4" width="11.25" customWidth="1"/>
    <col min="5" max="5" width="8.58203125" customWidth="1"/>
    <col min="6" max="6" width="9.58203125" customWidth="1"/>
    <col min="7" max="7" width="14.5" customWidth="1"/>
    <col min="8" max="8" width="12.83203125" customWidth="1"/>
    <col min="9" max="9" width="9.75" customWidth="1"/>
    <col min="10" max="10" width="7.58203125" customWidth="1"/>
    <col min="11" max="11" width="10.08203125" customWidth="1"/>
    <col min="12" max="12" width="14" customWidth="1"/>
    <col min="13" max="13" width="7.58203125" customWidth="1"/>
    <col min="14" max="14" width="12.08203125" customWidth="1"/>
    <col min="15" max="15" width="7.58203125" customWidth="1"/>
    <col min="16" max="16" width="10.33203125" customWidth="1"/>
    <col min="17" max="17" width="12.58203125" customWidth="1"/>
    <col min="18" max="18" width="10.83203125" customWidth="1"/>
    <col min="19" max="19" width="7.58203125" customWidth="1"/>
    <col min="20" max="20" width="9.08203125" customWidth="1"/>
    <col min="21" max="21" width="13.58203125" customWidth="1"/>
    <col min="22" max="22" width="12.5" customWidth="1"/>
    <col min="23" max="23" width="11.08203125" customWidth="1"/>
    <col min="24" max="24" width="10.83203125" customWidth="1"/>
    <col min="25" max="25" width="10.75" customWidth="1"/>
    <col min="26" max="26" width="12.08203125" customWidth="1"/>
    <col min="27" max="27" width="13.5" customWidth="1"/>
    <col min="28" max="28" width="9.08203125" customWidth="1"/>
    <col min="29" max="29" width="7.58203125" customWidth="1"/>
    <col min="30" max="30" width="9.5" customWidth="1"/>
    <col min="31" max="31" width="12.33203125" customWidth="1"/>
    <col min="32" max="32" width="18.75" customWidth="1"/>
    <col min="33" max="33" width="10.33203125" customWidth="1"/>
    <col min="34" max="34" width="7.58203125" customWidth="1"/>
    <col min="35" max="35" width="8.83203125" customWidth="1"/>
    <col min="36" max="36" width="13.25" customWidth="1"/>
    <col min="37" max="37" width="10.75" customWidth="1"/>
    <col min="38" max="38" width="11.75" customWidth="1"/>
    <col min="39" max="39" width="7.58203125" customWidth="1"/>
    <col min="40" max="40" width="10.33203125" customWidth="1"/>
    <col min="41" max="41" width="12.25" customWidth="1"/>
    <col min="42" max="42" width="21.33203125" customWidth="1"/>
    <col min="43" max="43" width="9.75" customWidth="1"/>
    <col min="44" max="44" width="7.58203125" customWidth="1"/>
    <col min="45" max="45" width="9.75" customWidth="1"/>
    <col min="46" max="46" width="12.83203125" customWidth="1"/>
    <col min="47" max="47" width="16.58203125" customWidth="1"/>
  </cols>
  <sheetData>
    <row r="1" spans="1:47" ht="14.25" customHeight="1" x14ac:dyDescent="0.3">
      <c r="A1" s="395" t="s">
        <v>0</v>
      </c>
      <c r="B1" s="396" t="s">
        <v>104</v>
      </c>
      <c r="C1" s="398" t="s">
        <v>3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  <c r="T1" s="122"/>
      <c r="U1" s="122"/>
      <c r="V1" s="402" t="s">
        <v>4</v>
      </c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2"/>
      <c r="AS1" s="123"/>
      <c r="AT1" s="123"/>
      <c r="AU1" s="401" t="s">
        <v>5</v>
      </c>
    </row>
    <row r="2" spans="1:47" ht="14.25" customHeight="1" x14ac:dyDescent="0.3">
      <c r="A2" s="389"/>
      <c r="B2" s="353"/>
      <c r="C2" s="397" t="s">
        <v>6</v>
      </c>
      <c r="D2" s="397" t="s">
        <v>7</v>
      </c>
      <c r="E2" s="397" t="s">
        <v>8</v>
      </c>
      <c r="F2" s="397" t="s">
        <v>85</v>
      </c>
      <c r="G2" s="397" t="s">
        <v>86</v>
      </c>
      <c r="H2" s="397" t="s">
        <v>9</v>
      </c>
      <c r="I2" s="397" t="s">
        <v>7</v>
      </c>
      <c r="J2" s="397" t="s">
        <v>8</v>
      </c>
      <c r="K2" s="397" t="s">
        <v>85</v>
      </c>
      <c r="L2" s="397" t="s">
        <v>86</v>
      </c>
      <c r="M2" s="397" t="s">
        <v>105</v>
      </c>
      <c r="N2" s="397" t="s">
        <v>7</v>
      </c>
      <c r="O2" s="397" t="s">
        <v>8</v>
      </c>
      <c r="P2" s="397" t="s">
        <v>85</v>
      </c>
      <c r="Q2" s="397" t="s">
        <v>86</v>
      </c>
      <c r="R2" s="399" t="s">
        <v>11</v>
      </c>
      <c r="S2" s="372"/>
      <c r="T2" s="397" t="s">
        <v>85</v>
      </c>
      <c r="U2" s="397" t="s">
        <v>86</v>
      </c>
      <c r="V2" s="400" t="s">
        <v>12</v>
      </c>
      <c r="W2" s="400" t="s">
        <v>7</v>
      </c>
      <c r="X2" s="400" t="s">
        <v>8</v>
      </c>
      <c r="Y2" s="400" t="s">
        <v>85</v>
      </c>
      <c r="Z2" s="400" t="s">
        <v>131</v>
      </c>
      <c r="AA2" s="400" t="s">
        <v>13</v>
      </c>
      <c r="AB2" s="400" t="s">
        <v>7</v>
      </c>
      <c r="AC2" s="400" t="s">
        <v>8</v>
      </c>
      <c r="AD2" s="400" t="s">
        <v>85</v>
      </c>
      <c r="AE2" s="400" t="s">
        <v>131</v>
      </c>
      <c r="AF2" s="400" t="s">
        <v>14</v>
      </c>
      <c r="AG2" s="400" t="s">
        <v>7</v>
      </c>
      <c r="AH2" s="400" t="s">
        <v>8</v>
      </c>
      <c r="AI2" s="400" t="s">
        <v>85</v>
      </c>
      <c r="AJ2" s="400" t="s">
        <v>131</v>
      </c>
      <c r="AK2" s="400" t="s">
        <v>15</v>
      </c>
      <c r="AL2" s="400" t="s">
        <v>7</v>
      </c>
      <c r="AM2" s="400" t="s">
        <v>8</v>
      </c>
      <c r="AN2" s="400" t="s">
        <v>85</v>
      </c>
      <c r="AO2" s="400" t="s">
        <v>131</v>
      </c>
      <c r="AP2" s="400" t="s">
        <v>16</v>
      </c>
      <c r="AQ2" s="400" t="s">
        <v>7</v>
      </c>
      <c r="AR2" s="400" t="s">
        <v>8</v>
      </c>
      <c r="AS2" s="400" t="s">
        <v>85</v>
      </c>
      <c r="AT2" s="400" t="s">
        <v>131</v>
      </c>
      <c r="AU2" s="353"/>
    </row>
    <row r="3" spans="1:47" ht="14.25" customHeight="1" x14ac:dyDescent="0.3">
      <c r="A3" s="390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124" t="s">
        <v>17</v>
      </c>
      <c r="S3" s="124" t="s">
        <v>8</v>
      </c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</row>
    <row r="4" spans="1:47" ht="14.25" customHeight="1" x14ac:dyDescent="0.3">
      <c r="A4" s="76">
        <v>1</v>
      </c>
      <c r="B4" s="77" t="s">
        <v>100</v>
      </c>
      <c r="C4" s="78"/>
      <c r="D4" s="78"/>
      <c r="E4" s="78"/>
      <c r="F4" s="78"/>
      <c r="G4" s="78"/>
      <c r="H4" s="78"/>
      <c r="I4" s="78"/>
      <c r="J4" s="78"/>
      <c r="K4" s="97"/>
      <c r="L4" s="97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97"/>
      <c r="AE4" s="97"/>
      <c r="AF4" s="78"/>
      <c r="AG4" s="78"/>
      <c r="AH4" s="78"/>
      <c r="AI4" s="78"/>
      <c r="AJ4" s="78"/>
      <c r="AK4" s="78"/>
      <c r="AL4" s="78"/>
      <c r="AM4" s="78"/>
      <c r="AN4" s="97"/>
      <c r="AO4" s="97"/>
      <c r="AP4" s="78"/>
      <c r="AQ4" s="78"/>
      <c r="AR4" s="78"/>
      <c r="AS4" s="97"/>
      <c r="AT4" s="97"/>
      <c r="AU4" s="79"/>
    </row>
    <row r="5" spans="1:47" ht="14.25" customHeight="1" x14ac:dyDescent="0.3">
      <c r="A5" s="79"/>
      <c r="B5" s="79" t="s">
        <v>106</v>
      </c>
      <c r="C5" s="80" t="s">
        <v>107</v>
      </c>
      <c r="D5" s="111">
        <f>'UT Unit Fungsi'!D5</f>
        <v>1.095049968418018E-4</v>
      </c>
      <c r="E5" s="188" t="s">
        <v>199</v>
      </c>
      <c r="F5" s="111">
        <f>CF!F4</f>
        <v>9.0400000000000002E-9</v>
      </c>
      <c r="G5" s="111">
        <f t="shared" ref="G5:G7" si="0">D5*F5</f>
        <v>9.8992517144988828E-13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9"/>
    </row>
    <row r="6" spans="1:47" ht="14.25" customHeight="1" x14ac:dyDescent="0.3">
      <c r="A6" s="79"/>
      <c r="B6" s="79" t="s">
        <v>108</v>
      </c>
      <c r="C6" s="80" t="s">
        <v>109</v>
      </c>
      <c r="D6" s="111">
        <f>'UT Unit Fungsi'!D6</f>
        <v>1.9087843472699963E-2</v>
      </c>
      <c r="E6" s="188" t="s">
        <v>209</v>
      </c>
      <c r="F6" s="125">
        <v>0</v>
      </c>
      <c r="G6" s="111">
        <f t="shared" si="0"/>
        <v>0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80" t="s">
        <v>111</v>
      </c>
      <c r="AB6" s="111">
        <f>Utilitas!R6/Utilitas!C30</f>
        <v>1.9087843472699963E-2</v>
      </c>
      <c r="AC6" s="188" t="s">
        <v>209</v>
      </c>
      <c r="AD6" s="125">
        <v>0</v>
      </c>
      <c r="AE6" s="111">
        <f>AB6*AD6</f>
        <v>0</v>
      </c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80" t="s">
        <v>112</v>
      </c>
      <c r="AQ6" s="111">
        <f>Utilitas!AA6/Utilitas!C30</f>
        <v>3.8175686945399931E-7</v>
      </c>
      <c r="AR6" s="188" t="s">
        <v>203</v>
      </c>
      <c r="AS6" s="118">
        <f>CF!F24</f>
        <v>1.39E-9</v>
      </c>
      <c r="AT6" s="111">
        <f>AQ6*AS6</f>
        <v>5.3064204854105905E-16</v>
      </c>
      <c r="AU6" s="79"/>
    </row>
    <row r="7" spans="1:47" ht="14.25" customHeight="1" x14ac:dyDescent="0.3">
      <c r="A7" s="79"/>
      <c r="B7" s="79"/>
      <c r="C7" s="80" t="s">
        <v>113</v>
      </c>
      <c r="D7" s="111">
        <f>'UT Unit Fungsi'!D7</f>
        <v>3.8175686945399923E-5</v>
      </c>
      <c r="E7" s="188" t="s">
        <v>202</v>
      </c>
      <c r="F7" s="125">
        <v>0</v>
      </c>
      <c r="G7" s="111">
        <f t="shared" si="0"/>
        <v>0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112"/>
      <c r="AR7" s="78"/>
      <c r="AS7" s="78"/>
      <c r="AT7" s="78"/>
      <c r="AU7" s="79"/>
    </row>
    <row r="8" spans="1:47" ht="14.25" customHeight="1" x14ac:dyDescent="0.3">
      <c r="A8" s="79"/>
      <c r="B8" s="79" t="s">
        <v>114</v>
      </c>
      <c r="C8" s="78"/>
      <c r="D8" s="85"/>
      <c r="E8" s="85"/>
      <c r="F8" s="85"/>
      <c r="G8" s="85"/>
      <c r="H8" s="80" t="s">
        <v>22</v>
      </c>
      <c r="I8" s="111">
        <f>'UT Unit Fungsi'!G8</f>
        <v>6.6825250072615507E-3</v>
      </c>
      <c r="J8" s="188" t="s">
        <v>203</v>
      </c>
      <c r="K8" s="111">
        <f>CF!F7</f>
        <v>6.4499999999999997E-7</v>
      </c>
      <c r="L8" s="111">
        <f>I8*K8</f>
        <v>4.3102286296837E-9</v>
      </c>
      <c r="M8" s="78"/>
      <c r="N8" s="78"/>
      <c r="O8" s="78"/>
      <c r="P8" s="78"/>
      <c r="Q8" s="78"/>
      <c r="R8" s="78"/>
      <c r="S8" s="78"/>
      <c r="T8" s="78"/>
      <c r="U8" s="78"/>
      <c r="V8" s="87" t="s">
        <v>24</v>
      </c>
      <c r="W8" s="111">
        <f>Utilitas!O8/Utilitas!C30</f>
        <v>3.4084522550674235E-8</v>
      </c>
      <c r="X8" s="20" t="s">
        <v>205</v>
      </c>
      <c r="Y8" s="126">
        <f>CF!F21</f>
        <v>1.55E-8</v>
      </c>
      <c r="Z8" s="126">
        <f t="shared" ref="Z8:Z10" si="1">W8*Y8</f>
        <v>5.2831009953545064E-16</v>
      </c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112"/>
      <c r="AR8" s="78"/>
      <c r="AS8" s="78"/>
      <c r="AT8" s="78"/>
      <c r="AU8" s="79"/>
    </row>
    <row r="9" spans="1:47" ht="14.25" customHeight="1" x14ac:dyDescent="0.3">
      <c r="A9" s="76"/>
      <c r="B9" s="79"/>
      <c r="C9" s="78"/>
      <c r="D9" s="85"/>
      <c r="E9" s="85"/>
      <c r="F9" s="85"/>
      <c r="G9" s="85"/>
      <c r="H9" s="78"/>
      <c r="I9" s="85"/>
      <c r="J9" s="85"/>
      <c r="K9" s="85"/>
      <c r="L9" s="85"/>
      <c r="M9" s="78"/>
      <c r="N9" s="89"/>
      <c r="O9" s="78"/>
      <c r="P9" s="78"/>
      <c r="Q9" s="78"/>
      <c r="R9" s="78"/>
      <c r="S9" s="78"/>
      <c r="T9" s="78"/>
      <c r="U9" s="78"/>
      <c r="V9" s="87" t="s">
        <v>29</v>
      </c>
      <c r="W9" s="111">
        <f>Utilitas!O9/Utilitas!C30</f>
        <v>5.1831000461322046E-7</v>
      </c>
      <c r="X9" s="18" t="s">
        <v>206</v>
      </c>
      <c r="Y9" s="127">
        <f>CF!F22</f>
        <v>5.1399999999999997E-8</v>
      </c>
      <c r="Z9" s="127">
        <f t="shared" si="1"/>
        <v>2.664113423711953E-14</v>
      </c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90"/>
      <c r="AO9" s="90"/>
      <c r="AP9" s="90"/>
      <c r="AQ9" s="112"/>
      <c r="AR9" s="92"/>
      <c r="AS9" s="92"/>
      <c r="AT9" s="92"/>
      <c r="AU9" s="79"/>
    </row>
    <row r="10" spans="1:47" ht="14.25" customHeight="1" x14ac:dyDescent="0.3">
      <c r="A10" s="76"/>
      <c r="B10" s="79"/>
      <c r="C10" s="78"/>
      <c r="D10" s="85"/>
      <c r="E10" s="85"/>
      <c r="F10" s="85"/>
      <c r="G10" s="85"/>
      <c r="H10" s="78"/>
      <c r="I10" s="85"/>
      <c r="J10" s="85"/>
      <c r="K10" s="85"/>
      <c r="L10" s="85"/>
      <c r="M10" s="78"/>
      <c r="N10" s="89"/>
      <c r="O10" s="78"/>
      <c r="P10" s="78"/>
      <c r="Q10" s="78"/>
      <c r="R10" s="78"/>
      <c r="S10" s="78"/>
      <c r="T10" s="78"/>
      <c r="U10" s="78"/>
      <c r="V10" s="87" t="s">
        <v>31</v>
      </c>
      <c r="W10" s="111">
        <f>Utilitas!O10/Utilitas!C30</f>
        <v>2.0257163306103306E-5</v>
      </c>
      <c r="X10" s="18" t="s">
        <v>207</v>
      </c>
      <c r="Y10" s="127">
        <f>CF!F23</f>
        <v>2.2700000000000001E-8</v>
      </c>
      <c r="Z10" s="127">
        <f t="shared" si="1"/>
        <v>4.5983760704854506E-13</v>
      </c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90"/>
      <c r="AO10" s="90"/>
      <c r="AP10" s="90"/>
      <c r="AQ10" s="112"/>
      <c r="AR10" s="92"/>
      <c r="AS10" s="92"/>
      <c r="AT10" s="92"/>
      <c r="AU10" s="79"/>
    </row>
    <row r="11" spans="1:47" ht="14.25" customHeight="1" x14ac:dyDescent="0.3">
      <c r="A11" s="76"/>
      <c r="B11" s="79"/>
      <c r="C11" s="78"/>
      <c r="D11" s="85"/>
      <c r="E11" s="85"/>
      <c r="F11" s="85"/>
      <c r="G11" s="85"/>
      <c r="H11" s="78"/>
      <c r="I11" s="85"/>
      <c r="J11" s="85"/>
      <c r="K11" s="85"/>
      <c r="L11" s="85"/>
      <c r="M11" s="78"/>
      <c r="N11" s="89"/>
      <c r="O11" s="78"/>
      <c r="P11" s="78"/>
      <c r="Q11" s="78"/>
      <c r="R11" s="78"/>
      <c r="S11" s="78"/>
      <c r="T11" s="78"/>
      <c r="U11" s="78"/>
      <c r="V11" s="78"/>
      <c r="W11" s="113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90"/>
      <c r="AO11" s="90"/>
      <c r="AP11" s="90"/>
      <c r="AQ11" s="112"/>
      <c r="AR11" s="92"/>
      <c r="AS11" s="92"/>
      <c r="AT11" s="92"/>
      <c r="AU11" s="79"/>
    </row>
    <row r="12" spans="1:47" ht="14.25" customHeight="1" x14ac:dyDescent="0.3">
      <c r="A12" s="76"/>
      <c r="B12" s="79"/>
      <c r="C12" s="78"/>
      <c r="D12" s="85"/>
      <c r="E12" s="85"/>
      <c r="F12" s="85"/>
      <c r="G12" s="85"/>
      <c r="H12" s="78"/>
      <c r="I12" s="85"/>
      <c r="J12" s="85"/>
      <c r="K12" s="85"/>
      <c r="L12" s="85"/>
      <c r="M12" s="78"/>
      <c r="N12" s="89"/>
      <c r="O12" s="78"/>
      <c r="P12" s="78"/>
      <c r="Q12" s="78"/>
      <c r="R12" s="78"/>
      <c r="S12" s="78"/>
      <c r="T12" s="78"/>
      <c r="U12" s="78"/>
      <c r="V12" s="78"/>
      <c r="W12" s="113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90"/>
      <c r="AO12" s="90"/>
      <c r="AP12" s="90"/>
      <c r="AQ12" s="112"/>
      <c r="AR12" s="92"/>
      <c r="AS12" s="92"/>
      <c r="AT12" s="92"/>
      <c r="AU12" s="79"/>
    </row>
    <row r="13" spans="1:47" ht="14.25" customHeight="1" x14ac:dyDescent="0.3">
      <c r="A13" s="76">
        <v>2</v>
      </c>
      <c r="B13" s="77" t="s">
        <v>101</v>
      </c>
      <c r="C13" s="78"/>
      <c r="D13" s="85"/>
      <c r="E13" s="85"/>
      <c r="F13" s="85"/>
      <c r="G13" s="85"/>
      <c r="H13" s="80" t="s">
        <v>22</v>
      </c>
      <c r="I13" s="111">
        <f>'UT Unit Fungsi'!G13</f>
        <v>1.3651443943405738E-2</v>
      </c>
      <c r="J13" s="188" t="s">
        <v>203</v>
      </c>
      <c r="K13" s="111">
        <f>K8</f>
        <v>6.4499999999999997E-7</v>
      </c>
      <c r="L13" s="111">
        <f>I13*K13</f>
        <v>8.8051813434967002E-9</v>
      </c>
      <c r="M13" s="80" t="s">
        <v>115</v>
      </c>
      <c r="N13" s="81">
        <f>Utilitas!J13/Utilitas!C30</f>
        <v>5.3429011325306891E-2</v>
      </c>
      <c r="O13" s="188" t="s">
        <v>203</v>
      </c>
      <c r="P13" s="125">
        <v>0</v>
      </c>
      <c r="Q13" s="86">
        <f t="shared" ref="Q13:Q14" si="2">N13*P13</f>
        <v>0</v>
      </c>
      <c r="R13" s="78"/>
      <c r="S13" s="78"/>
      <c r="T13" s="78"/>
      <c r="U13" s="78"/>
      <c r="V13" s="87" t="s">
        <v>24</v>
      </c>
      <c r="W13" s="111">
        <f>Utilitas!O13/Utilitas!C30</f>
        <v>6.962981035352022E-8</v>
      </c>
      <c r="X13" s="20" t="s">
        <v>205</v>
      </c>
      <c r="Y13" s="126">
        <f t="shared" ref="Y13:Y15" si="3">Y8</f>
        <v>1.55E-8</v>
      </c>
      <c r="Z13" s="126">
        <f t="shared" ref="Z13:Z15" si="4">W13*Y13</f>
        <v>1.0792620604795635E-15</v>
      </c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80" t="s">
        <v>116</v>
      </c>
      <c r="AL13" s="94">
        <f>Utilitas!X13/Utilitas!C30</f>
        <v>3.6329210656642426E-3</v>
      </c>
      <c r="AM13" s="188" t="s">
        <v>200</v>
      </c>
      <c r="AN13" s="128">
        <f>CF!F12</f>
        <v>3.3899999999999999E-8</v>
      </c>
      <c r="AO13" s="128">
        <f t="shared" ref="AO13:AO16" si="5">AL13*AN13</f>
        <v>1.2315602412601781E-10</v>
      </c>
      <c r="AP13" s="95" t="s">
        <v>117</v>
      </c>
      <c r="AQ13" s="111">
        <f>Utilitas!AA13/Utilitas!C30</f>
        <v>1.0685802265061379E-7</v>
      </c>
      <c r="AR13" s="188" t="s">
        <v>203</v>
      </c>
      <c r="AS13" s="129">
        <f>CF!F26</f>
        <v>6.2300000000000002E-9</v>
      </c>
      <c r="AT13" s="130">
        <f t="shared" ref="AT13:AT14" si="6">AQ13*AS13</f>
        <v>6.6572548111332393E-16</v>
      </c>
      <c r="AU13" s="79"/>
    </row>
    <row r="14" spans="1:47" ht="14.25" customHeight="1" x14ac:dyDescent="0.3">
      <c r="A14" s="79"/>
      <c r="B14" s="79"/>
      <c r="C14" s="78"/>
      <c r="D14" s="85"/>
      <c r="E14" s="85"/>
      <c r="F14" s="85"/>
      <c r="G14" s="85"/>
      <c r="H14" s="78"/>
      <c r="I14" s="85"/>
      <c r="J14" s="85"/>
      <c r="K14" s="85"/>
      <c r="L14" s="85"/>
      <c r="M14" s="80" t="s">
        <v>118</v>
      </c>
      <c r="N14" s="81">
        <f>Utilitas!J14/Utilitas!C30</f>
        <v>1.9642121495572963E-2</v>
      </c>
      <c r="O14" s="188" t="s">
        <v>203</v>
      </c>
      <c r="P14" s="118">
        <f>CF!F32</f>
        <v>4.6800000000000002E-8</v>
      </c>
      <c r="Q14" s="111">
        <f t="shared" si="2"/>
        <v>9.1925128599281468E-10</v>
      </c>
      <c r="R14" s="78"/>
      <c r="S14" s="78"/>
      <c r="T14" s="78"/>
      <c r="U14" s="78"/>
      <c r="V14" s="87" t="s">
        <v>29</v>
      </c>
      <c r="W14" s="111">
        <f>Utilitas!O14/Utilitas!C30</f>
        <v>1.058833295138436E-6</v>
      </c>
      <c r="X14" s="18" t="s">
        <v>206</v>
      </c>
      <c r="Y14" s="127">
        <f t="shared" si="3"/>
        <v>5.1399999999999997E-8</v>
      </c>
      <c r="Z14" s="127">
        <f t="shared" si="4"/>
        <v>5.4424031370115604E-14</v>
      </c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80" t="s">
        <v>119</v>
      </c>
      <c r="AL14" s="94">
        <f>Utilitas!X14/Utilitas!C30</f>
        <v>6.5392579181956359E-2</v>
      </c>
      <c r="AM14" s="188" t="s">
        <v>203</v>
      </c>
      <c r="AN14" s="131">
        <v>0</v>
      </c>
      <c r="AO14" s="132">
        <f t="shared" si="5"/>
        <v>0</v>
      </c>
      <c r="AP14" s="95" t="s">
        <v>121</v>
      </c>
      <c r="AQ14" s="111">
        <f>Utilitas!AA14/Utilitas!C30</f>
        <v>3.9284242991145929E-8</v>
      </c>
      <c r="AR14" s="188" t="s">
        <v>203</v>
      </c>
      <c r="AS14" s="129">
        <f>AS13</f>
        <v>6.2300000000000002E-9</v>
      </c>
      <c r="AT14" s="130">
        <f t="shared" si="6"/>
        <v>2.4474083383483914E-16</v>
      </c>
      <c r="AU14" s="79"/>
    </row>
    <row r="15" spans="1:47" ht="14.25" customHeight="1" x14ac:dyDescent="0.3">
      <c r="A15" s="79"/>
      <c r="B15" s="79"/>
      <c r="C15" s="78"/>
      <c r="D15" s="85"/>
      <c r="E15" s="85"/>
      <c r="F15" s="85"/>
      <c r="G15" s="85"/>
      <c r="H15" s="78"/>
      <c r="I15" s="85"/>
      <c r="J15" s="85"/>
      <c r="K15" s="85"/>
      <c r="L15" s="85"/>
      <c r="M15" s="78"/>
      <c r="N15" s="78"/>
      <c r="O15" s="78"/>
      <c r="P15" s="78"/>
      <c r="Q15" s="78"/>
      <c r="R15" s="78"/>
      <c r="S15" s="78"/>
      <c r="T15" s="78"/>
      <c r="U15" s="78"/>
      <c r="V15" s="87" t="s">
        <v>31</v>
      </c>
      <c r="W15" s="111">
        <f>Utilitas!O15/Utilitas!C30</f>
        <v>4.138249075389676E-5</v>
      </c>
      <c r="X15" s="18" t="s">
        <v>207</v>
      </c>
      <c r="Y15" s="127">
        <f t="shared" si="3"/>
        <v>2.2700000000000001E-8</v>
      </c>
      <c r="Z15" s="127">
        <f t="shared" si="4"/>
        <v>9.3938254011345658E-13</v>
      </c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80" t="s">
        <v>122</v>
      </c>
      <c r="AL15" s="94">
        <f>Utilitas!X15/Utilitas!C30</f>
        <v>7.2658421313284859E-5</v>
      </c>
      <c r="AM15" s="188" t="s">
        <v>203</v>
      </c>
      <c r="AN15" s="125">
        <v>0</v>
      </c>
      <c r="AO15" s="132">
        <f t="shared" si="5"/>
        <v>0</v>
      </c>
      <c r="AP15" s="78"/>
      <c r="AQ15" s="97"/>
      <c r="AR15" s="78"/>
      <c r="AS15" s="78"/>
      <c r="AT15" s="78"/>
      <c r="AU15" s="79"/>
    </row>
    <row r="16" spans="1:47" ht="14.25" customHeight="1" x14ac:dyDescent="0.3">
      <c r="A16" s="98"/>
      <c r="B16" s="98"/>
      <c r="C16" s="84"/>
      <c r="D16" s="99"/>
      <c r="E16" s="99"/>
      <c r="F16" s="99"/>
      <c r="G16" s="99"/>
      <c r="H16" s="84"/>
      <c r="I16" s="99"/>
      <c r="J16" s="99"/>
      <c r="K16" s="99"/>
      <c r="L16" s="99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115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101" t="s">
        <v>123</v>
      </c>
      <c r="AL16" s="102">
        <f>Utilitas!X16/Utilitas!C30</f>
        <v>3.2696289590978186E-3</v>
      </c>
      <c r="AM16" s="188" t="s">
        <v>203</v>
      </c>
      <c r="AN16" s="133">
        <v>0</v>
      </c>
      <c r="AO16" s="132">
        <f t="shared" si="5"/>
        <v>0</v>
      </c>
      <c r="AP16" s="84"/>
      <c r="AQ16" s="84"/>
      <c r="AR16" s="84"/>
      <c r="AS16" s="84"/>
      <c r="AT16" s="84"/>
      <c r="AU16" s="98"/>
    </row>
    <row r="17" spans="1:47" ht="12.75" customHeight="1" x14ac:dyDescent="0.3">
      <c r="A17" s="103"/>
      <c r="B17" s="98"/>
      <c r="C17" s="84"/>
      <c r="D17" s="99"/>
      <c r="E17" s="99"/>
      <c r="F17" s="99"/>
      <c r="G17" s="99"/>
      <c r="H17" s="84"/>
      <c r="I17" s="99"/>
      <c r="J17" s="99"/>
      <c r="K17" s="99"/>
      <c r="L17" s="99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115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98"/>
    </row>
    <row r="18" spans="1:47" ht="12.75" customHeight="1" x14ac:dyDescent="0.3">
      <c r="A18" s="76">
        <v>3</v>
      </c>
      <c r="B18" s="104" t="s">
        <v>102</v>
      </c>
      <c r="C18" s="78"/>
      <c r="D18" s="85"/>
      <c r="E18" s="85"/>
      <c r="F18" s="85"/>
      <c r="G18" s="85"/>
      <c r="H18" s="79" t="s">
        <v>22</v>
      </c>
      <c r="I18" s="116">
        <f>'UT Unit Fungsi'!G18</f>
        <v>2.2169610837840557</v>
      </c>
      <c r="J18" s="188" t="s">
        <v>203</v>
      </c>
      <c r="K18" s="116">
        <f>K8</f>
        <v>6.4499999999999997E-7</v>
      </c>
      <c r="L18" s="116">
        <f>I18*K18</f>
        <v>1.4299398990407159E-6</v>
      </c>
      <c r="M18" s="78"/>
      <c r="N18" s="78"/>
      <c r="O18" s="78"/>
      <c r="P18" s="78"/>
      <c r="Q18" s="78"/>
      <c r="R18" s="117">
        <f>Utilitas!L18/Utilitas!C30</f>
        <v>7.40849022395951E-4</v>
      </c>
      <c r="S18" s="190" t="s">
        <v>203</v>
      </c>
      <c r="T18" s="117">
        <f>CF!F10</f>
        <v>3.28E-10</v>
      </c>
      <c r="U18" s="117">
        <f>R18*T18</f>
        <v>2.4299847934587194E-13</v>
      </c>
      <c r="V18" s="87" t="s">
        <v>24</v>
      </c>
      <c r="W18" s="117">
        <f>Utilitas!O18/Utilitas!C30</f>
        <v>1.130771077879893E-5</v>
      </c>
      <c r="X18" s="20" t="s">
        <v>205</v>
      </c>
      <c r="Y18" s="126">
        <f t="shared" ref="Y18:Y20" si="7">Y8</f>
        <v>1.55E-8</v>
      </c>
      <c r="Z18" s="126">
        <f t="shared" ref="Z18:Z20" si="8">W18*Y18</f>
        <v>1.752695170713834E-13</v>
      </c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9"/>
    </row>
    <row r="19" spans="1:47" ht="14.25" customHeight="1" x14ac:dyDescent="0.3">
      <c r="A19" s="79"/>
      <c r="B19" s="77"/>
      <c r="C19" s="78"/>
      <c r="D19" s="85"/>
      <c r="E19" s="85"/>
      <c r="F19" s="85"/>
      <c r="G19" s="85"/>
      <c r="H19" s="78"/>
      <c r="I19" s="107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87" t="s">
        <v>29</v>
      </c>
      <c r="W19" s="117">
        <f>Utilitas!O19/Utilitas!C30</f>
        <v>1.7195193558045894E-4</v>
      </c>
      <c r="X19" s="18" t="s">
        <v>206</v>
      </c>
      <c r="Y19" s="127">
        <f t="shared" si="7"/>
        <v>5.1399999999999997E-8</v>
      </c>
      <c r="Z19" s="127">
        <f t="shared" si="8"/>
        <v>8.838329488835589E-12</v>
      </c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9"/>
    </row>
    <row r="20" spans="1:47" ht="14.25" customHeight="1" x14ac:dyDescent="0.3">
      <c r="A20" s="79"/>
      <c r="B20" s="77"/>
      <c r="C20" s="78"/>
      <c r="D20" s="85"/>
      <c r="E20" s="85"/>
      <c r="F20" s="85"/>
      <c r="G20" s="85"/>
      <c r="H20" s="78"/>
      <c r="I20" s="107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87" t="s">
        <v>31</v>
      </c>
      <c r="W20" s="117">
        <f>Utilitas!O20/Utilitas!C30</f>
        <v>6.7204152126163026E-3</v>
      </c>
      <c r="X20" s="18" t="s">
        <v>207</v>
      </c>
      <c r="Y20" s="127">
        <f t="shared" si="7"/>
        <v>2.2700000000000001E-8</v>
      </c>
      <c r="Z20" s="127">
        <f t="shared" si="8"/>
        <v>1.5255342532639008E-10</v>
      </c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9"/>
    </row>
    <row r="21" spans="1:47" ht="14.25" customHeight="1" x14ac:dyDescent="0.3">
      <c r="A21" s="79"/>
      <c r="B21" s="77"/>
      <c r="C21" s="78"/>
      <c r="D21" s="85"/>
      <c r="E21" s="85"/>
      <c r="F21" s="85"/>
      <c r="G21" s="85"/>
      <c r="H21" s="78"/>
      <c r="I21" s="107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85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9"/>
    </row>
    <row r="22" spans="1:47" ht="14.25" customHeight="1" x14ac:dyDescent="0.3">
      <c r="A22" s="76">
        <v>4</v>
      </c>
      <c r="B22" s="77" t="s">
        <v>103</v>
      </c>
      <c r="C22" s="80" t="s">
        <v>124</v>
      </c>
      <c r="D22" s="111">
        <f>'UT Unit Fungsi'!D22</f>
        <v>0.21396490426821876</v>
      </c>
      <c r="E22" s="188" t="s">
        <v>203</v>
      </c>
      <c r="F22" s="94">
        <v>0</v>
      </c>
      <c r="G22" s="111">
        <f t="shared" ref="G22:G28" si="9">D22*F22</f>
        <v>0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80" t="s">
        <v>124</v>
      </c>
      <c r="AG22" s="111">
        <f>Utilitas!U22/Utilitas!C30</f>
        <v>2.1398182754583456E-4</v>
      </c>
      <c r="AH22" s="188" t="s">
        <v>203</v>
      </c>
      <c r="AI22" s="111">
        <f>CF!F34</f>
        <v>3.3000000000000002E-9</v>
      </c>
      <c r="AJ22" s="111">
        <f t="shared" ref="AJ22:AJ28" si="10">AG22*AI22</f>
        <v>7.0614003090125409E-13</v>
      </c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9"/>
    </row>
    <row r="23" spans="1:47" ht="14.25" customHeight="1" x14ac:dyDescent="0.3">
      <c r="A23" s="79"/>
      <c r="B23" s="79"/>
      <c r="C23" s="108" t="s">
        <v>125</v>
      </c>
      <c r="D23" s="111">
        <f>'UT Unit Fungsi'!D23</f>
        <v>2.3811919465810231E-3</v>
      </c>
      <c r="E23" s="188" t="s">
        <v>203</v>
      </c>
      <c r="F23" s="94">
        <v>0</v>
      </c>
      <c r="G23" s="111">
        <f t="shared" si="9"/>
        <v>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108" t="s">
        <v>125</v>
      </c>
      <c r="AG23" s="111">
        <f>Utilitas!U23/Utilitas!C30</f>
        <v>2.3811919465810231E-6</v>
      </c>
      <c r="AH23" s="188" t="s">
        <v>203</v>
      </c>
      <c r="AI23" s="86">
        <f>F23</f>
        <v>0</v>
      </c>
      <c r="AJ23" s="111">
        <f t="shared" si="10"/>
        <v>0</v>
      </c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9"/>
    </row>
    <row r="24" spans="1:47" ht="14.25" customHeight="1" x14ac:dyDescent="0.3">
      <c r="A24" s="79"/>
      <c r="B24" s="79"/>
      <c r="C24" s="108" t="s">
        <v>126</v>
      </c>
      <c r="D24" s="111">
        <f>'UT Unit Fungsi'!D24</f>
        <v>2.6502286676525925E-2</v>
      </c>
      <c r="E24" s="188" t="s">
        <v>203</v>
      </c>
      <c r="F24" s="94">
        <v>0</v>
      </c>
      <c r="G24" s="111">
        <f t="shared" si="9"/>
        <v>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108" t="s">
        <v>126</v>
      </c>
      <c r="AG24" s="111">
        <f>Utilitas!U24/Utilitas!C30</f>
        <v>2.6502286676525927E-5</v>
      </c>
      <c r="AH24" s="188" t="s">
        <v>203</v>
      </c>
      <c r="AI24" s="111">
        <f>CF!F29</f>
        <v>5.6699999999999995E-11</v>
      </c>
      <c r="AJ24" s="111">
        <f t="shared" si="10"/>
        <v>1.5026796545590199E-15</v>
      </c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/>
    </row>
    <row r="25" spans="1:47" ht="14.25" customHeight="1" x14ac:dyDescent="0.3">
      <c r="A25" s="79"/>
      <c r="B25" s="79"/>
      <c r="C25" s="80" t="s">
        <v>127</v>
      </c>
      <c r="D25" s="111">
        <f>'UT Unit Fungsi'!D25</f>
        <v>4.7189908736343759E-3</v>
      </c>
      <c r="E25" s="188" t="s">
        <v>203</v>
      </c>
      <c r="F25" s="94">
        <v>0</v>
      </c>
      <c r="G25" s="111">
        <f t="shared" si="9"/>
        <v>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80" t="s">
        <v>127</v>
      </c>
      <c r="AG25" s="111">
        <f>Utilitas!U25/Utilitas!C30</f>
        <v>4.7189908736343763E-6</v>
      </c>
      <c r="AH25" s="188" t="s">
        <v>203</v>
      </c>
      <c r="AI25" s="111">
        <f>CF!F31</f>
        <v>7.2099999999999997E-9</v>
      </c>
      <c r="AJ25" s="111">
        <f t="shared" si="10"/>
        <v>3.4023924198903853E-14</v>
      </c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9"/>
    </row>
    <row r="26" spans="1:47" ht="14.25" customHeight="1" x14ac:dyDescent="0.3">
      <c r="A26" s="79"/>
      <c r="B26" s="79"/>
      <c r="C26" s="108" t="s">
        <v>128</v>
      </c>
      <c r="D26" s="118">
        <f>'UT Unit Fungsi'!D26</f>
        <v>5.0335902652099982E-3</v>
      </c>
      <c r="E26" s="188" t="s">
        <v>203</v>
      </c>
      <c r="F26" s="94">
        <v>0</v>
      </c>
      <c r="G26" s="111">
        <f t="shared" si="9"/>
        <v>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108" t="s">
        <v>128</v>
      </c>
      <c r="AG26" s="111">
        <f>Utilitas!U26/Utilitas!C30</f>
        <v>5.0335902652099982E-6</v>
      </c>
      <c r="AH26" s="188" t="s">
        <v>203</v>
      </c>
      <c r="AI26" s="111">
        <f>CF!F13</f>
        <v>3.9299999999999999E-7</v>
      </c>
      <c r="AJ26" s="111">
        <f t="shared" si="10"/>
        <v>1.9782009742275292E-12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9"/>
    </row>
    <row r="27" spans="1:47" ht="14.25" customHeight="1" x14ac:dyDescent="0.3">
      <c r="A27" s="79"/>
      <c r="B27" s="79"/>
      <c r="C27" s="108" t="s">
        <v>129</v>
      </c>
      <c r="D27" s="111">
        <f>'UT Unit Fungsi'!D27</f>
        <v>1.3180597136765854E-2</v>
      </c>
      <c r="E27" s="188" t="s">
        <v>203</v>
      </c>
      <c r="F27" s="94">
        <v>0</v>
      </c>
      <c r="G27" s="111">
        <f t="shared" si="9"/>
        <v>0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108" t="s">
        <v>129</v>
      </c>
      <c r="AG27" s="111">
        <f>Utilitas!U27/Utilitas!C30</f>
        <v>1.3180597136765854E-5</v>
      </c>
      <c r="AH27" s="188" t="s">
        <v>203</v>
      </c>
      <c r="AI27" s="111">
        <f>CF!F25</f>
        <v>5.6100000000000003E-9</v>
      </c>
      <c r="AJ27" s="111">
        <f t="shared" si="10"/>
        <v>7.3943149937256439E-14</v>
      </c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9"/>
    </row>
    <row r="28" spans="1:47" ht="14.25" customHeight="1" x14ac:dyDescent="0.3">
      <c r="A28" s="79"/>
      <c r="B28" s="79"/>
      <c r="C28" s="80" t="s">
        <v>130</v>
      </c>
      <c r="D28" s="111">
        <f>'UT Unit Fungsi'!D28</f>
        <v>1.4428178992951074E-3</v>
      </c>
      <c r="E28" s="188" t="s">
        <v>203</v>
      </c>
      <c r="F28" s="94">
        <v>0</v>
      </c>
      <c r="G28" s="111">
        <f t="shared" si="9"/>
        <v>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80" t="s">
        <v>130</v>
      </c>
      <c r="AG28" s="111">
        <f>Utilitas!U28/Utilitas!C30</f>
        <v>1.4428178992951075E-6</v>
      </c>
      <c r="AH28" s="188" t="s">
        <v>203</v>
      </c>
      <c r="AI28" s="111">
        <f>CF!F34</f>
        <v>3.3000000000000002E-9</v>
      </c>
      <c r="AJ28" s="111">
        <f t="shared" si="10"/>
        <v>4.7612990676738555E-15</v>
      </c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9"/>
    </row>
    <row r="29" spans="1:47" ht="14.25" customHeight="1" x14ac:dyDescent="0.3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</row>
    <row r="30" spans="1:47" ht="14.25" customHeight="1" x14ac:dyDescent="0.35">
      <c r="A30" s="109"/>
      <c r="B30" s="135" t="s">
        <v>94</v>
      </c>
      <c r="C30" s="109"/>
      <c r="D30" s="136" t="s">
        <v>100</v>
      </c>
      <c r="E30" s="137">
        <f>SUM(G5:G7,L8,Z8:Z10,AE6,AT6)</f>
        <v>4.3117060925485831E-9</v>
      </c>
      <c r="F30" s="109"/>
      <c r="G30" s="381" t="s">
        <v>210</v>
      </c>
      <c r="H30" s="381"/>
      <c r="I30" s="381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</row>
    <row r="31" spans="1:47" ht="14.25" customHeight="1" x14ac:dyDescent="0.35">
      <c r="A31" s="109"/>
      <c r="B31" s="138">
        <f>SUM(G5:G7,L8,L13,L18,Q13:Q14,U18,Z8:Z10,Z13:Z15,Z18:Z20,AE6,AJ22:AJ28,AO13:AO16,AT6,AT13:AT14)</f>
        <v>1.4442647981780494E-6</v>
      </c>
      <c r="C31" s="109"/>
      <c r="D31" s="136" t="s">
        <v>101</v>
      </c>
      <c r="E31" s="137">
        <f>SUM(L13,Q13:Q14,Z13:Z15,AO13:AO16,AT13:AT14)</f>
        <v>9.8485844499153928E-9</v>
      </c>
      <c r="F31" s="109"/>
      <c r="G31" s="197" t="s">
        <v>86</v>
      </c>
      <c r="H31" s="195" t="s">
        <v>211</v>
      </c>
      <c r="I31" s="197" t="s">
        <v>212</v>
      </c>
      <c r="J31" s="109"/>
      <c r="K31" s="109"/>
      <c r="L31" s="109"/>
      <c r="M31" s="10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</row>
    <row r="32" spans="1:47" ht="14.25" customHeight="1" x14ac:dyDescent="0.35">
      <c r="A32" s="109"/>
      <c r="B32" s="135" t="s">
        <v>95</v>
      </c>
      <c r="C32" s="109"/>
      <c r="D32" s="136" t="s">
        <v>102</v>
      </c>
      <c r="E32" s="137">
        <f>SUM(L18,U18,Z18:Z20)</f>
        <v>1.4301017090635275E-6</v>
      </c>
      <c r="F32" s="109"/>
      <c r="G32" s="215">
        <f>G5</f>
        <v>9.8992517144988828E-13</v>
      </c>
      <c r="H32" s="216">
        <f>(G32/$G$71)*100%</f>
        <v>6.8541805678479889E-7</v>
      </c>
      <c r="I32" s="220"/>
      <c r="J32" s="109"/>
      <c r="K32" s="109"/>
      <c r="L32" s="109"/>
      <c r="M32" s="109"/>
      <c r="N32" s="140"/>
      <c r="O32" s="139"/>
      <c r="P32" s="139"/>
      <c r="Q32" s="139"/>
      <c r="R32" s="139"/>
      <c r="S32" s="139"/>
      <c r="T32" s="139"/>
      <c r="U32" s="139"/>
      <c r="V32" s="139"/>
      <c r="W32" s="13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</row>
    <row r="33" spans="1:47" ht="14.25" customHeight="1" x14ac:dyDescent="0.3">
      <c r="A33" s="109"/>
      <c r="B33" s="109"/>
      <c r="C33" s="109"/>
      <c r="D33" s="136" t="s">
        <v>103</v>
      </c>
      <c r="E33" s="137">
        <f>SUM(AJ22:AJ28)</f>
        <v>2.7985720579871763E-12</v>
      </c>
      <c r="F33" s="109"/>
      <c r="G33" s="215">
        <f t="shared" ref="G33:G34" si="11">G6</f>
        <v>0</v>
      </c>
      <c r="H33" s="216">
        <f t="shared" ref="H33:H70" si="12">(G33/$G$71)*100%</f>
        <v>0</v>
      </c>
      <c r="I33" s="220"/>
      <c r="J33" s="109"/>
      <c r="K33" s="109"/>
      <c r="L33" s="109"/>
      <c r="M33" s="109"/>
      <c r="N33" s="141"/>
      <c r="O33" s="142"/>
      <c r="P33" s="142"/>
      <c r="Q33" s="142"/>
      <c r="R33" s="141"/>
      <c r="S33" s="139"/>
      <c r="T33" s="139"/>
      <c r="U33" s="139"/>
      <c r="V33" s="139"/>
      <c r="W33" s="13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</row>
    <row r="34" spans="1:47" ht="14.25" customHeight="1" x14ac:dyDescent="0.3">
      <c r="A34" s="109"/>
      <c r="B34" s="109"/>
      <c r="C34" s="109"/>
      <c r="D34" s="109"/>
      <c r="E34" s="137">
        <f>SUM(E30:E33)</f>
        <v>1.4442647981780496E-6</v>
      </c>
      <c r="F34" s="109"/>
      <c r="G34" s="215">
        <f t="shared" si="11"/>
        <v>0</v>
      </c>
      <c r="H34" s="216">
        <f t="shared" si="12"/>
        <v>0</v>
      </c>
      <c r="I34" s="220"/>
      <c r="J34" s="109"/>
      <c r="K34" s="109"/>
      <c r="L34" s="109"/>
      <c r="M34" s="109"/>
      <c r="N34" s="141"/>
      <c r="O34" s="142"/>
      <c r="P34" s="142"/>
      <c r="Q34" s="142"/>
      <c r="R34" s="141"/>
      <c r="S34" s="139"/>
      <c r="T34" s="139"/>
      <c r="U34" s="139"/>
      <c r="V34" s="139"/>
      <c r="W34" s="13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</row>
    <row r="35" spans="1:47" ht="14.25" customHeight="1" x14ac:dyDescent="0.3">
      <c r="A35" s="109"/>
      <c r="B35" s="109"/>
      <c r="C35" s="109"/>
      <c r="D35" s="109"/>
      <c r="E35" s="109"/>
      <c r="F35" s="109"/>
      <c r="G35" s="215">
        <f>G22</f>
        <v>0</v>
      </c>
      <c r="H35" s="216">
        <f t="shared" si="12"/>
        <v>0</v>
      </c>
      <c r="I35" s="220"/>
      <c r="J35" s="109"/>
      <c r="K35" s="109"/>
      <c r="L35" s="109"/>
      <c r="M35" s="109"/>
      <c r="N35" s="141"/>
      <c r="O35" s="142"/>
      <c r="P35" s="142"/>
      <c r="Q35" s="142"/>
      <c r="R35" s="141"/>
      <c r="S35" s="139"/>
      <c r="T35" s="139"/>
      <c r="U35" s="139"/>
      <c r="V35" s="139"/>
      <c r="W35" s="13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</row>
    <row r="36" spans="1:47" ht="14.25" customHeight="1" x14ac:dyDescent="0.3">
      <c r="A36" s="109"/>
      <c r="B36" s="109"/>
      <c r="C36" s="109"/>
      <c r="D36" s="109"/>
      <c r="E36" s="109"/>
      <c r="F36" s="109"/>
      <c r="G36" s="215">
        <f t="shared" ref="G36:G41" si="13">G23</f>
        <v>0</v>
      </c>
      <c r="H36" s="216">
        <f t="shared" si="12"/>
        <v>0</v>
      </c>
      <c r="I36" s="220"/>
      <c r="J36" s="109"/>
      <c r="K36" s="109"/>
      <c r="L36" s="109"/>
      <c r="M36" s="109"/>
      <c r="N36" s="141"/>
      <c r="O36" s="142"/>
      <c r="P36" s="142"/>
      <c r="Q36" s="142"/>
      <c r="R36" s="141"/>
      <c r="S36" s="139"/>
      <c r="T36" s="139"/>
      <c r="U36" s="139"/>
      <c r="V36" s="139"/>
      <c r="W36" s="13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</row>
    <row r="37" spans="1:47" ht="14.25" customHeight="1" x14ac:dyDescent="0.3">
      <c r="A37" s="109"/>
      <c r="B37" s="109"/>
      <c r="C37" s="109"/>
      <c r="D37" s="109"/>
      <c r="E37" s="109"/>
      <c r="F37" s="109"/>
      <c r="G37" s="215">
        <f t="shared" si="13"/>
        <v>0</v>
      </c>
      <c r="H37" s="216">
        <f t="shared" si="12"/>
        <v>0</v>
      </c>
      <c r="I37" s="220"/>
      <c r="J37" s="109"/>
      <c r="K37" s="109"/>
      <c r="L37" s="109"/>
      <c r="M37" s="109"/>
      <c r="N37" s="141"/>
      <c r="O37" s="142"/>
      <c r="P37" s="142"/>
      <c r="Q37" s="142"/>
      <c r="R37" s="141"/>
      <c r="S37" s="139"/>
      <c r="T37" s="139"/>
      <c r="U37" s="139"/>
      <c r="V37" s="139"/>
      <c r="W37" s="13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</row>
    <row r="38" spans="1:47" ht="14.25" customHeight="1" x14ac:dyDescent="0.3">
      <c r="A38" s="109"/>
      <c r="B38" s="109"/>
      <c r="C38" s="109"/>
      <c r="D38" s="109"/>
      <c r="E38" s="109"/>
      <c r="F38" s="109"/>
      <c r="G38" s="215">
        <f t="shared" si="13"/>
        <v>0</v>
      </c>
      <c r="H38" s="216">
        <f t="shared" si="12"/>
        <v>0</v>
      </c>
      <c r="I38" s="220"/>
      <c r="J38" s="109"/>
      <c r="K38" s="109"/>
      <c r="L38" s="109"/>
      <c r="M38" s="109"/>
      <c r="N38" s="141"/>
      <c r="O38" s="142"/>
      <c r="P38" s="142"/>
      <c r="Q38" s="142"/>
      <c r="R38" s="141"/>
      <c r="S38" s="139"/>
      <c r="T38" s="139"/>
      <c r="U38" s="139"/>
      <c r="V38" s="139"/>
      <c r="W38" s="13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</row>
    <row r="39" spans="1:47" ht="14.25" customHeight="1" x14ac:dyDescent="0.3">
      <c r="A39" s="109"/>
      <c r="B39" s="109"/>
      <c r="C39" s="109"/>
      <c r="D39" s="109"/>
      <c r="E39" s="109"/>
      <c r="F39" s="109"/>
      <c r="G39" s="215">
        <f t="shared" si="13"/>
        <v>0</v>
      </c>
      <c r="H39" s="216">
        <f t="shared" si="12"/>
        <v>0</v>
      </c>
      <c r="I39" s="220"/>
      <c r="J39" s="109"/>
      <c r="K39" s="109"/>
      <c r="L39" s="109"/>
      <c r="M39" s="109"/>
      <c r="N39" s="140"/>
      <c r="O39" s="139"/>
      <c r="P39" s="139"/>
      <c r="Q39" s="139"/>
      <c r="R39" s="141"/>
      <c r="S39" s="143"/>
      <c r="T39" s="143"/>
      <c r="U39" s="143"/>
      <c r="V39" s="143"/>
      <c r="W39" s="143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</row>
    <row r="40" spans="1:47" ht="14.25" customHeight="1" x14ac:dyDescent="0.3">
      <c r="A40" s="109"/>
      <c r="B40" s="109"/>
      <c r="C40" s="109"/>
      <c r="D40" s="109"/>
      <c r="E40" s="109"/>
      <c r="F40" s="109"/>
      <c r="G40" s="215">
        <f t="shared" si="13"/>
        <v>0</v>
      </c>
      <c r="H40" s="216">
        <f t="shared" si="12"/>
        <v>0</v>
      </c>
      <c r="I40" s="220"/>
      <c r="J40" s="109"/>
      <c r="K40" s="109"/>
      <c r="L40" s="109"/>
      <c r="M40" s="109"/>
      <c r="N40" s="144"/>
      <c r="O40" s="142"/>
      <c r="P40" s="142"/>
      <c r="Q40" s="142"/>
      <c r="R40" s="141"/>
      <c r="S40" s="143"/>
      <c r="T40" s="143"/>
      <c r="U40" s="143"/>
      <c r="V40" s="143"/>
      <c r="W40" s="143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</row>
    <row r="41" spans="1:47" ht="14.25" customHeight="1" x14ac:dyDescent="0.3">
      <c r="A41" s="109"/>
      <c r="B41" s="109"/>
      <c r="C41" s="109"/>
      <c r="D41" s="109"/>
      <c r="E41" s="109"/>
      <c r="F41" s="109"/>
      <c r="G41" s="223">
        <f t="shared" si="13"/>
        <v>0</v>
      </c>
      <c r="H41" s="224">
        <f t="shared" si="12"/>
        <v>0</v>
      </c>
      <c r="I41" s="225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</row>
    <row r="42" spans="1:47" ht="14.25" customHeight="1" x14ac:dyDescent="0.3">
      <c r="A42" s="109"/>
      <c r="B42" s="109"/>
      <c r="C42" s="109"/>
      <c r="D42" s="109"/>
      <c r="E42" s="109"/>
      <c r="F42" s="109"/>
      <c r="G42" s="215">
        <f>L8</f>
        <v>4.3102286296837E-9</v>
      </c>
      <c r="H42" s="216">
        <f t="shared" si="12"/>
        <v>2.984375604197433E-3</v>
      </c>
      <c r="I42" s="220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</row>
    <row r="43" spans="1:47" ht="14.25" customHeight="1" x14ac:dyDescent="0.3">
      <c r="A43" s="109"/>
      <c r="B43" s="109"/>
      <c r="C43" s="109"/>
      <c r="D43" s="109"/>
      <c r="E43" s="109"/>
      <c r="F43" s="109"/>
      <c r="G43" s="215">
        <f>L13</f>
        <v>8.8051813434967002E-9</v>
      </c>
      <c r="H43" s="216">
        <f t="shared" si="12"/>
        <v>6.0966530200033267E-3</v>
      </c>
      <c r="I43" s="220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</row>
    <row r="44" spans="1:47" ht="14.25" customHeight="1" x14ac:dyDescent="0.3">
      <c r="A44" s="109"/>
      <c r="B44" s="109"/>
      <c r="C44" s="109"/>
      <c r="D44" s="109"/>
      <c r="E44" s="109"/>
      <c r="F44" s="109"/>
      <c r="G44" s="221">
        <f>L18</f>
        <v>1.4299398990407159E-6</v>
      </c>
      <c r="H44" s="222">
        <f t="shared" si="12"/>
        <v>0.99008152857051945</v>
      </c>
      <c r="I44" s="246" t="s">
        <v>248</v>
      </c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</row>
    <row r="45" spans="1:47" ht="14.25" customHeight="1" x14ac:dyDescent="0.3">
      <c r="A45" s="109"/>
      <c r="B45" s="109"/>
      <c r="C45" s="109"/>
      <c r="D45" s="109"/>
      <c r="E45" s="109"/>
      <c r="F45" s="109"/>
      <c r="G45" s="217">
        <f>Q13</f>
        <v>0</v>
      </c>
      <c r="H45" s="216">
        <f t="shared" si="12"/>
        <v>0</v>
      </c>
      <c r="I45" s="220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</row>
    <row r="46" spans="1:47" ht="14.25" customHeight="1" x14ac:dyDescent="0.3">
      <c r="A46" s="109"/>
      <c r="B46" s="109"/>
      <c r="C46" s="109"/>
      <c r="D46" s="109"/>
      <c r="E46" s="109"/>
      <c r="F46" s="109"/>
      <c r="G46" s="217">
        <f>Q14</f>
        <v>9.1925128599281468E-10</v>
      </c>
      <c r="H46" s="216">
        <f t="shared" si="12"/>
        <v>6.3648389627196959E-4</v>
      </c>
      <c r="I46" s="220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</row>
    <row r="47" spans="1:47" ht="14.25" customHeight="1" x14ac:dyDescent="0.3">
      <c r="A47" s="109"/>
      <c r="B47" s="109"/>
      <c r="C47" s="109"/>
      <c r="D47" s="109"/>
      <c r="E47" s="109"/>
      <c r="F47" s="109"/>
      <c r="G47" s="215">
        <f>U18</f>
        <v>2.4299847934587194E-13</v>
      </c>
      <c r="H47" s="216">
        <f t="shared" si="12"/>
        <v>1.6825064188534976E-7</v>
      </c>
      <c r="I47" s="220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</row>
    <row r="48" spans="1:47" ht="14.25" customHeight="1" x14ac:dyDescent="0.3">
      <c r="A48" s="109"/>
      <c r="B48" s="109"/>
      <c r="C48" s="109"/>
      <c r="D48" s="109"/>
      <c r="E48" s="109"/>
      <c r="F48" s="109"/>
      <c r="G48" s="215">
        <f>Z8</f>
        <v>5.2831009953545064E-16</v>
      </c>
      <c r="H48" s="216">
        <f t="shared" si="12"/>
        <v>3.6579864038915695E-10</v>
      </c>
      <c r="I48" s="220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</row>
    <row r="49" spans="1:47" ht="14.25" customHeight="1" x14ac:dyDescent="0.3">
      <c r="A49" s="109"/>
      <c r="B49" s="109"/>
      <c r="C49" s="109"/>
      <c r="D49" s="109"/>
      <c r="E49" s="109"/>
      <c r="F49" s="109"/>
      <c r="G49" s="215">
        <f t="shared" ref="G49:G50" si="14">Z9</f>
        <v>2.664113423711953E-14</v>
      </c>
      <c r="H49" s="216">
        <f t="shared" si="12"/>
        <v>1.8446156321699122E-8</v>
      </c>
      <c r="I49" s="220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</row>
    <row r="50" spans="1:47" ht="14.25" customHeight="1" x14ac:dyDescent="0.3">
      <c r="A50" s="109"/>
      <c r="B50" s="109"/>
      <c r="C50" s="109"/>
      <c r="D50" s="109"/>
      <c r="E50" s="109"/>
      <c r="F50" s="109"/>
      <c r="G50" s="215">
        <f t="shared" si="14"/>
        <v>4.5983760704854506E-13</v>
      </c>
      <c r="H50" s="216">
        <f t="shared" si="12"/>
        <v>3.1838871073270882E-7</v>
      </c>
      <c r="I50" s="220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</row>
    <row r="51" spans="1:47" ht="14.25" customHeight="1" x14ac:dyDescent="0.3">
      <c r="A51" s="109"/>
      <c r="B51" s="109"/>
      <c r="C51" s="109"/>
      <c r="D51" s="109"/>
      <c r="E51" s="109"/>
      <c r="F51" s="109"/>
      <c r="G51" s="215">
        <f>Z13</f>
        <v>1.0792620604795635E-15</v>
      </c>
      <c r="H51" s="216">
        <f t="shared" si="12"/>
        <v>7.4727436536642069E-10</v>
      </c>
      <c r="I51" s="220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</row>
    <row r="52" spans="1:47" ht="14.25" customHeight="1" x14ac:dyDescent="0.3">
      <c r="A52" s="109"/>
      <c r="B52" s="109"/>
      <c r="C52" s="109"/>
      <c r="D52" s="109"/>
      <c r="E52" s="109"/>
      <c r="F52" s="109"/>
      <c r="G52" s="215">
        <f t="shared" ref="G52:G53" si="15">Z14</f>
        <v>5.4424031370115604E-14</v>
      </c>
      <c r="H52" s="216">
        <f t="shared" si="12"/>
        <v>3.7682862200042484E-8</v>
      </c>
      <c r="I52" s="220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</row>
    <row r="53" spans="1:47" ht="14.25" customHeight="1" x14ac:dyDescent="0.3">
      <c r="A53" s="109"/>
      <c r="B53" s="109"/>
      <c r="C53" s="109"/>
      <c r="D53" s="109"/>
      <c r="E53" s="109"/>
      <c r="F53" s="109"/>
      <c r="G53" s="215">
        <f t="shared" si="15"/>
        <v>9.3938254011345658E-13</v>
      </c>
      <c r="H53" s="216">
        <f t="shared" si="12"/>
        <v>6.5042265192539107E-7</v>
      </c>
      <c r="I53" s="220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</row>
    <row r="54" spans="1:47" ht="14.25" customHeight="1" x14ac:dyDescent="0.3">
      <c r="A54" s="109"/>
      <c r="B54" s="109"/>
      <c r="C54" s="109"/>
      <c r="D54" s="109"/>
      <c r="E54" s="109"/>
      <c r="F54" s="109"/>
      <c r="G54" s="215">
        <f>Z18</f>
        <v>1.752695170713834E-13</v>
      </c>
      <c r="H54" s="216">
        <f t="shared" si="12"/>
        <v>1.2135552794230475E-7</v>
      </c>
      <c r="I54" s="220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</row>
    <row r="55" spans="1:47" ht="14.25" customHeight="1" x14ac:dyDescent="0.3">
      <c r="A55" s="109"/>
      <c r="B55" s="109"/>
      <c r="C55" s="109"/>
      <c r="D55" s="109"/>
      <c r="E55" s="109"/>
      <c r="F55" s="109"/>
      <c r="G55" s="215">
        <f t="shared" ref="G55:G56" si="16">Z19</f>
        <v>8.838329488835589E-12</v>
      </c>
      <c r="H55" s="216">
        <f t="shared" si="12"/>
        <v>6.1196045905052913E-6</v>
      </c>
      <c r="I55" s="220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</row>
    <row r="56" spans="1:47" ht="14.25" customHeight="1" x14ac:dyDescent="0.3">
      <c r="A56" s="109"/>
      <c r="B56" s="109"/>
      <c r="C56" s="109"/>
      <c r="D56" s="109"/>
      <c r="E56" s="109"/>
      <c r="F56" s="109"/>
      <c r="G56" s="215">
        <f t="shared" si="16"/>
        <v>1.5255342532639008E-10</v>
      </c>
      <c r="H56" s="216">
        <f t="shared" si="12"/>
        <v>1.0562704672912983E-4</v>
      </c>
      <c r="I56" s="220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</row>
    <row r="57" spans="1:47" ht="14.25" customHeight="1" x14ac:dyDescent="0.3">
      <c r="A57" s="109"/>
      <c r="B57" s="109"/>
      <c r="C57" s="109"/>
      <c r="D57" s="109"/>
      <c r="E57" s="109"/>
      <c r="F57" s="109"/>
      <c r="G57" s="215">
        <f>AE6</f>
        <v>0</v>
      </c>
      <c r="H57" s="216">
        <f t="shared" si="12"/>
        <v>0</v>
      </c>
      <c r="I57" s="220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</row>
    <row r="58" spans="1:47" ht="14.25" customHeight="1" x14ac:dyDescent="0.3">
      <c r="A58" s="109"/>
      <c r="B58" s="109"/>
      <c r="C58" s="109"/>
      <c r="D58" s="109"/>
      <c r="E58" s="109"/>
      <c r="F58" s="109"/>
      <c r="G58" s="215">
        <f>AJ22</f>
        <v>7.0614003090125409E-13</v>
      </c>
      <c r="H58" s="216">
        <f t="shared" si="12"/>
        <v>4.8892698332885698E-7</v>
      </c>
      <c r="I58" s="220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</row>
    <row r="59" spans="1:47" ht="14.25" customHeight="1" x14ac:dyDescent="0.3">
      <c r="A59" s="109"/>
      <c r="B59" s="109"/>
      <c r="C59" s="109"/>
      <c r="D59" s="109"/>
      <c r="E59" s="109"/>
      <c r="F59" s="109"/>
      <c r="G59" s="215">
        <f t="shared" ref="G59:G64" si="17">AJ23</f>
        <v>0</v>
      </c>
      <c r="H59" s="216">
        <f t="shared" si="12"/>
        <v>0</v>
      </c>
      <c r="I59" s="220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</row>
    <row r="60" spans="1:47" ht="14.25" customHeight="1" x14ac:dyDescent="0.3">
      <c r="A60" s="109"/>
      <c r="B60" s="109"/>
      <c r="C60" s="109"/>
      <c r="D60" s="109"/>
      <c r="E60" s="109"/>
      <c r="F60" s="109"/>
      <c r="G60" s="215">
        <f t="shared" si="17"/>
        <v>1.5026796545590199E-15</v>
      </c>
      <c r="H60" s="216">
        <f t="shared" si="12"/>
        <v>1.0404460847170555E-9</v>
      </c>
      <c r="I60" s="220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</row>
    <row r="61" spans="1:47" ht="14.25" customHeight="1" x14ac:dyDescent="0.3">
      <c r="A61" s="109"/>
      <c r="B61" s="109"/>
      <c r="C61" s="109"/>
      <c r="D61" s="109"/>
      <c r="E61" s="109"/>
      <c r="F61" s="109"/>
      <c r="G61" s="215">
        <f t="shared" si="17"/>
        <v>3.4023924198903853E-14</v>
      </c>
      <c r="H61" s="216">
        <f t="shared" si="12"/>
        <v>2.3557954359772033E-8</v>
      </c>
      <c r="I61" s="220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</row>
    <row r="62" spans="1:47" ht="14.25" customHeight="1" x14ac:dyDescent="0.3">
      <c r="A62" s="109"/>
      <c r="B62" s="109"/>
      <c r="C62" s="109"/>
      <c r="D62" s="109"/>
      <c r="E62" s="109"/>
      <c r="F62" s="109"/>
      <c r="G62" s="215">
        <f t="shared" si="17"/>
        <v>1.9782009742275292E-12</v>
      </c>
      <c r="H62" s="216">
        <f t="shared" si="12"/>
        <v>1.369694100917674E-6</v>
      </c>
      <c r="I62" s="220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</row>
    <row r="63" spans="1:47" ht="14.25" customHeight="1" x14ac:dyDescent="0.3">
      <c r="A63" s="109"/>
      <c r="B63" s="109"/>
      <c r="C63" s="109"/>
      <c r="D63" s="109"/>
      <c r="E63" s="109"/>
      <c r="F63" s="109"/>
      <c r="G63" s="215">
        <f t="shared" si="17"/>
        <v>7.3943149937256439E-14</v>
      </c>
      <c r="H63" s="216">
        <f t="shared" si="12"/>
        <v>5.1197778987991857E-8</v>
      </c>
      <c r="I63" s="220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</row>
    <row r="64" spans="1:47" ht="14.25" customHeight="1" x14ac:dyDescent="0.3">
      <c r="A64" s="109"/>
      <c r="B64" s="109"/>
      <c r="C64" s="109"/>
      <c r="D64" s="109"/>
      <c r="E64" s="109"/>
      <c r="F64" s="109"/>
      <c r="G64" s="215">
        <f t="shared" si="17"/>
        <v>4.7612990676738555E-15</v>
      </c>
      <c r="H64" s="216">
        <f t="shared" si="12"/>
        <v>3.2966939813808863E-9</v>
      </c>
      <c r="I64" s="220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</row>
    <row r="65" spans="1:47" ht="14.25" customHeight="1" x14ac:dyDescent="0.3">
      <c r="A65" s="109"/>
      <c r="B65" s="109"/>
      <c r="C65" s="109"/>
      <c r="D65" s="109"/>
      <c r="E65" s="109"/>
      <c r="F65" s="109"/>
      <c r="G65" s="223">
        <f>AO13</f>
        <v>1.2315602412601781E-10</v>
      </c>
      <c r="H65" s="224">
        <f t="shared" si="12"/>
        <v>8.5272468235312549E-5</v>
      </c>
      <c r="I65" s="225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</row>
    <row r="66" spans="1:47" ht="14.25" customHeight="1" x14ac:dyDescent="0.3">
      <c r="A66" s="109"/>
      <c r="B66" s="109"/>
      <c r="C66" s="109"/>
      <c r="D66" s="109"/>
      <c r="E66" s="109"/>
      <c r="F66" s="109"/>
      <c r="G66" s="215">
        <f t="shared" ref="G66:G67" si="18">AO14</f>
        <v>0</v>
      </c>
      <c r="H66" s="216">
        <f t="shared" si="12"/>
        <v>0</v>
      </c>
      <c r="I66" s="220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</row>
    <row r="67" spans="1:47" ht="14.25" customHeight="1" x14ac:dyDescent="0.3">
      <c r="A67" s="109"/>
      <c r="B67" s="109"/>
      <c r="C67" s="109"/>
      <c r="D67" s="109"/>
      <c r="E67" s="109"/>
      <c r="F67" s="109"/>
      <c r="G67" s="215">
        <f t="shared" si="18"/>
        <v>0</v>
      </c>
      <c r="H67" s="216">
        <f t="shared" si="12"/>
        <v>0</v>
      </c>
      <c r="I67" s="220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</row>
    <row r="68" spans="1:47" ht="14.25" customHeight="1" x14ac:dyDescent="0.3">
      <c r="A68" s="109"/>
      <c r="B68" s="109"/>
      <c r="C68" s="109"/>
      <c r="D68" s="109"/>
      <c r="E68" s="109"/>
      <c r="F68" s="109"/>
      <c r="G68" s="215">
        <f>AT6</f>
        <v>5.3064204854105905E-16</v>
      </c>
      <c r="H68" s="216">
        <f t="shared" si="12"/>
        <v>3.6741326743576933E-10</v>
      </c>
      <c r="I68" s="220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</row>
    <row r="69" spans="1:47" ht="14.25" customHeight="1" x14ac:dyDescent="0.3">
      <c r="A69" s="109"/>
      <c r="B69" s="109"/>
      <c r="C69" s="109"/>
      <c r="D69" s="109"/>
      <c r="E69" s="109"/>
      <c r="F69" s="109"/>
      <c r="G69" s="215">
        <f>AT13</f>
        <v>6.6572548111332393E-16</v>
      </c>
      <c r="H69" s="216">
        <f t="shared" si="12"/>
        <v>4.6094419939691219E-10</v>
      </c>
      <c r="I69" s="220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</row>
    <row r="70" spans="1:47" ht="14.25" customHeight="1" x14ac:dyDescent="0.3">
      <c r="A70" s="109"/>
      <c r="B70" s="109"/>
      <c r="C70" s="109"/>
      <c r="D70" s="109"/>
      <c r="E70" s="109"/>
      <c r="F70" s="109"/>
      <c r="G70" s="215">
        <f>AT14</f>
        <v>2.4474083383483914E-16</v>
      </c>
      <c r="H70" s="216">
        <f t="shared" si="12"/>
        <v>1.6945703734078507E-10</v>
      </c>
      <c r="I70" s="220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</row>
    <row r="71" spans="1:47" ht="14.25" customHeight="1" x14ac:dyDescent="0.3">
      <c r="A71" s="109"/>
      <c r="B71" s="109"/>
      <c r="C71" s="109"/>
      <c r="D71" s="109"/>
      <c r="E71" s="109"/>
      <c r="F71" s="109"/>
      <c r="G71" s="218">
        <f>SUM(G32:G70)</f>
        <v>1.4442647981780494E-6</v>
      </c>
      <c r="H71" s="219">
        <f>SUM(H32:H70)</f>
        <v>1.0000000000000002</v>
      </c>
      <c r="I71" s="110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</row>
    <row r="72" spans="1:47" ht="14.25" customHeight="1" x14ac:dyDescent="0.3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</row>
    <row r="73" spans="1:47" ht="14.25" customHeight="1" x14ac:dyDescent="0.3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</row>
    <row r="74" spans="1:47" ht="14.25" customHeight="1" x14ac:dyDescent="0.3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</row>
    <row r="75" spans="1:47" ht="14.25" customHeight="1" x14ac:dyDescent="0.3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</row>
    <row r="76" spans="1:47" ht="14.25" customHeight="1" x14ac:dyDescent="0.3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</row>
    <row r="77" spans="1:47" ht="14.25" customHeight="1" x14ac:dyDescent="0.3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</row>
    <row r="78" spans="1:47" ht="14.25" customHeight="1" x14ac:dyDescent="0.3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</row>
    <row r="79" spans="1:47" ht="14.25" customHeight="1" x14ac:dyDescent="0.3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</row>
    <row r="80" spans="1:47" ht="14.25" customHeight="1" x14ac:dyDescent="0.3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</row>
    <row r="81" spans="1:47" ht="14.25" customHeight="1" x14ac:dyDescent="0.3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</row>
    <row r="82" spans="1:47" ht="14.25" customHeight="1" x14ac:dyDescent="0.3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</row>
    <row r="83" spans="1:47" ht="14.25" customHeight="1" x14ac:dyDescent="0.3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</row>
    <row r="84" spans="1:47" ht="14.25" customHeight="1" x14ac:dyDescent="0.3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</row>
    <row r="85" spans="1:47" ht="14.25" customHeight="1" x14ac:dyDescent="0.3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</row>
    <row r="86" spans="1:47" ht="14.25" customHeight="1" x14ac:dyDescent="0.3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</row>
    <row r="87" spans="1:47" ht="14.25" customHeight="1" x14ac:dyDescent="0.3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</row>
    <row r="88" spans="1:47" ht="14.25" customHeight="1" x14ac:dyDescent="0.3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</row>
    <row r="89" spans="1:47" ht="14.25" customHeight="1" x14ac:dyDescent="0.3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</row>
    <row r="90" spans="1:47" ht="14.25" customHeight="1" x14ac:dyDescent="0.3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</row>
    <row r="91" spans="1:47" ht="14.25" customHeight="1" x14ac:dyDescent="0.3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</row>
    <row r="92" spans="1:47" ht="14.25" customHeight="1" x14ac:dyDescent="0.3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</row>
    <row r="93" spans="1:47" ht="14.25" customHeight="1" x14ac:dyDescent="0.3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</row>
    <row r="94" spans="1:47" ht="14.25" customHeight="1" x14ac:dyDescent="0.3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</row>
    <row r="95" spans="1:47" ht="14.25" customHeight="1" x14ac:dyDescent="0.3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</row>
    <row r="96" spans="1:47" ht="14.25" customHeight="1" x14ac:dyDescent="0.3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</row>
    <row r="97" spans="1:47" ht="14.25" customHeight="1" x14ac:dyDescent="0.3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</row>
    <row r="98" spans="1:47" ht="14.25" customHeight="1" x14ac:dyDescent="0.3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</row>
    <row r="99" spans="1:47" ht="14.25" customHeight="1" x14ac:dyDescent="0.3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</row>
    <row r="100" spans="1:47" ht="14.25" customHeight="1" x14ac:dyDescent="0.3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</row>
    <row r="101" spans="1:47" ht="14.25" customHeight="1" x14ac:dyDescent="0.3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</row>
    <row r="102" spans="1:47" ht="14.25" customHeight="1" x14ac:dyDescent="0.3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</row>
    <row r="103" spans="1:47" ht="14.25" customHeight="1" x14ac:dyDescent="0.3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</row>
    <row r="104" spans="1:47" ht="14.25" customHeight="1" x14ac:dyDescent="0.3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</row>
    <row r="105" spans="1:47" ht="14.25" customHeight="1" x14ac:dyDescent="0.3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</row>
    <row r="106" spans="1:47" ht="14.25" customHeight="1" x14ac:dyDescent="0.3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</row>
    <row r="107" spans="1:47" ht="14.25" customHeight="1" x14ac:dyDescent="0.3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</row>
    <row r="108" spans="1:47" ht="14.25" customHeight="1" x14ac:dyDescent="0.3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</row>
    <row r="109" spans="1:47" ht="14.25" customHeight="1" x14ac:dyDescent="0.3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</row>
    <row r="110" spans="1:47" ht="14.25" customHeight="1" x14ac:dyDescent="0.3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</row>
    <row r="111" spans="1:47" ht="14.25" customHeight="1" x14ac:dyDescent="0.3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</row>
    <row r="112" spans="1:47" ht="14.25" customHeight="1" x14ac:dyDescent="0.3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</row>
    <row r="113" spans="1:47" ht="14.25" customHeight="1" x14ac:dyDescent="0.3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</row>
    <row r="114" spans="1:47" ht="14.25" customHeight="1" x14ac:dyDescent="0.3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</row>
    <row r="115" spans="1:47" ht="14.25" customHeight="1" x14ac:dyDescent="0.3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</row>
    <row r="116" spans="1:47" ht="14.25" customHeight="1" x14ac:dyDescent="0.3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</row>
    <row r="117" spans="1:47" ht="14.25" customHeight="1" x14ac:dyDescent="0.3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</row>
    <row r="118" spans="1:47" ht="14.25" customHeight="1" x14ac:dyDescent="0.3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</row>
    <row r="119" spans="1:47" ht="14.25" customHeight="1" x14ac:dyDescent="0.3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</row>
    <row r="120" spans="1:47" ht="14.25" customHeight="1" x14ac:dyDescent="0.3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</row>
    <row r="121" spans="1:47" ht="14.25" customHeight="1" x14ac:dyDescent="0.3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</row>
    <row r="122" spans="1:47" ht="14.25" customHeight="1" x14ac:dyDescent="0.3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</row>
    <row r="123" spans="1:47" ht="14.25" customHeight="1" x14ac:dyDescent="0.3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</row>
    <row r="124" spans="1:47" ht="14.25" customHeight="1" x14ac:dyDescent="0.3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</row>
    <row r="125" spans="1:47" ht="14.25" customHeight="1" x14ac:dyDescent="0.3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</row>
    <row r="126" spans="1:47" ht="14.25" customHeight="1" x14ac:dyDescent="0.3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</row>
    <row r="127" spans="1:47" ht="14.25" customHeight="1" x14ac:dyDescent="0.3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</row>
    <row r="128" spans="1:47" ht="14.25" customHeight="1" x14ac:dyDescent="0.3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</row>
    <row r="129" spans="1:47" ht="14.25" customHeight="1" x14ac:dyDescent="0.3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</row>
    <row r="130" spans="1:47" ht="14.25" customHeight="1" x14ac:dyDescent="0.3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</row>
    <row r="131" spans="1:47" ht="14.25" customHeight="1" x14ac:dyDescent="0.3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</row>
    <row r="132" spans="1:47" ht="14.25" customHeight="1" x14ac:dyDescent="0.3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</row>
    <row r="133" spans="1:47" ht="14.25" customHeight="1" x14ac:dyDescent="0.3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</row>
    <row r="134" spans="1:47" ht="14.25" customHeight="1" x14ac:dyDescent="0.3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</row>
    <row r="135" spans="1:47" ht="14.25" customHeight="1" x14ac:dyDescent="0.3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</row>
    <row r="136" spans="1:47" ht="14.25" customHeight="1" x14ac:dyDescent="0.3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</row>
    <row r="137" spans="1:47" ht="14.25" customHeight="1" x14ac:dyDescent="0.3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</row>
    <row r="138" spans="1:47" ht="14.25" customHeight="1" x14ac:dyDescent="0.3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</row>
    <row r="139" spans="1:47" ht="14.25" customHeight="1" x14ac:dyDescent="0.3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</row>
    <row r="140" spans="1:47" ht="14.25" customHeight="1" x14ac:dyDescent="0.3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</row>
    <row r="141" spans="1:47" ht="14.25" customHeight="1" x14ac:dyDescent="0.3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</row>
    <row r="142" spans="1:47" ht="14.25" customHeight="1" x14ac:dyDescent="0.3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</row>
    <row r="143" spans="1:47" ht="14.25" customHeight="1" x14ac:dyDescent="0.3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</row>
    <row r="144" spans="1:47" ht="14.25" customHeight="1" x14ac:dyDescent="0.3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</row>
    <row r="145" spans="1:47" ht="14.25" customHeight="1" x14ac:dyDescent="0.3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</row>
    <row r="146" spans="1:47" ht="14.25" customHeight="1" x14ac:dyDescent="0.3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</row>
    <row r="147" spans="1:47" ht="14.25" customHeight="1" x14ac:dyDescent="0.3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</row>
    <row r="148" spans="1:47" ht="14.25" customHeight="1" x14ac:dyDescent="0.3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</row>
    <row r="149" spans="1:47" ht="14.25" customHeight="1" x14ac:dyDescent="0.3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</row>
    <row r="150" spans="1:47" ht="14.25" customHeight="1" x14ac:dyDescent="0.3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</row>
    <row r="151" spans="1:47" ht="14.25" customHeight="1" x14ac:dyDescent="0.3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</row>
    <row r="152" spans="1:47" ht="14.25" customHeight="1" x14ac:dyDescent="0.3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</row>
    <row r="153" spans="1:47" ht="14.25" customHeight="1" x14ac:dyDescent="0.3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</row>
    <row r="154" spans="1:47" ht="14.25" customHeight="1" x14ac:dyDescent="0.3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</row>
    <row r="155" spans="1:47" ht="14.25" customHeight="1" x14ac:dyDescent="0.3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</row>
    <row r="156" spans="1:47" ht="14.25" customHeight="1" x14ac:dyDescent="0.3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</row>
    <row r="157" spans="1:47" ht="14.25" customHeight="1" x14ac:dyDescent="0.3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</row>
    <row r="158" spans="1:47" ht="14.25" customHeight="1" x14ac:dyDescent="0.3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</row>
    <row r="159" spans="1:47" ht="14.25" customHeight="1" x14ac:dyDescent="0.3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</row>
    <row r="160" spans="1:47" ht="14.25" customHeight="1" x14ac:dyDescent="0.3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</row>
    <row r="161" spans="1:47" ht="14.25" customHeight="1" x14ac:dyDescent="0.3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</row>
    <row r="162" spans="1:47" ht="14.25" customHeight="1" x14ac:dyDescent="0.3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</row>
    <row r="163" spans="1:47" ht="14.25" customHeight="1" x14ac:dyDescent="0.3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</row>
    <row r="164" spans="1:47" ht="14.25" customHeight="1" x14ac:dyDescent="0.3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</row>
    <row r="165" spans="1:47" ht="14.25" customHeight="1" x14ac:dyDescent="0.3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</row>
    <row r="166" spans="1:47" ht="14.25" customHeight="1" x14ac:dyDescent="0.3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</row>
    <row r="167" spans="1:47" ht="14.25" customHeight="1" x14ac:dyDescent="0.3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</row>
    <row r="168" spans="1:47" ht="14.25" customHeight="1" x14ac:dyDescent="0.3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</row>
    <row r="169" spans="1:47" ht="14.25" customHeight="1" x14ac:dyDescent="0.3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</row>
    <row r="170" spans="1:47" ht="14.25" customHeight="1" x14ac:dyDescent="0.3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</row>
    <row r="171" spans="1:47" ht="14.25" customHeight="1" x14ac:dyDescent="0.3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</row>
    <row r="172" spans="1:47" ht="14.25" customHeight="1" x14ac:dyDescent="0.3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</row>
    <row r="173" spans="1:47" ht="14.25" customHeight="1" x14ac:dyDescent="0.3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</row>
    <row r="174" spans="1:47" ht="14.25" customHeight="1" x14ac:dyDescent="0.3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</row>
    <row r="175" spans="1:47" ht="14.25" customHeight="1" x14ac:dyDescent="0.3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</row>
    <row r="176" spans="1:47" ht="14.25" customHeight="1" x14ac:dyDescent="0.3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</row>
    <row r="177" spans="1:47" ht="14.25" customHeight="1" x14ac:dyDescent="0.3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</row>
    <row r="178" spans="1:47" ht="14.25" customHeight="1" x14ac:dyDescent="0.3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</row>
    <row r="179" spans="1:47" ht="14.25" customHeight="1" x14ac:dyDescent="0.3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</row>
    <row r="180" spans="1:47" ht="14.25" customHeight="1" x14ac:dyDescent="0.3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</row>
    <row r="181" spans="1:47" ht="14.25" customHeight="1" x14ac:dyDescent="0.3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</row>
    <row r="182" spans="1:47" ht="14.25" customHeight="1" x14ac:dyDescent="0.3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</row>
    <row r="183" spans="1:47" ht="14.25" customHeight="1" x14ac:dyDescent="0.3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</row>
    <row r="184" spans="1:47" ht="14.25" customHeight="1" x14ac:dyDescent="0.3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</row>
    <row r="185" spans="1:47" ht="14.25" customHeight="1" x14ac:dyDescent="0.3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</row>
    <row r="186" spans="1:47" ht="14.25" customHeight="1" x14ac:dyDescent="0.3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</row>
    <row r="187" spans="1:47" ht="14.25" customHeight="1" x14ac:dyDescent="0.3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</row>
    <row r="188" spans="1:47" ht="14.25" customHeight="1" x14ac:dyDescent="0.3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</row>
    <row r="189" spans="1:47" ht="14.25" customHeight="1" x14ac:dyDescent="0.3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</row>
    <row r="190" spans="1:47" ht="14.25" customHeight="1" x14ac:dyDescent="0.3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</row>
    <row r="191" spans="1:47" ht="14.25" customHeight="1" x14ac:dyDescent="0.3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</row>
    <row r="192" spans="1:47" ht="14.25" customHeight="1" x14ac:dyDescent="0.3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</row>
    <row r="193" spans="1:47" ht="14.25" customHeight="1" x14ac:dyDescent="0.3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</row>
    <row r="194" spans="1:47" ht="14.25" customHeight="1" x14ac:dyDescent="0.3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</row>
    <row r="195" spans="1:47" ht="14.25" customHeight="1" x14ac:dyDescent="0.3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</row>
    <row r="196" spans="1:47" ht="14.25" customHeight="1" x14ac:dyDescent="0.3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</row>
    <row r="197" spans="1:47" ht="14.25" customHeight="1" x14ac:dyDescent="0.3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</row>
    <row r="198" spans="1:47" ht="14.25" customHeight="1" x14ac:dyDescent="0.3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</row>
    <row r="199" spans="1:47" ht="14.25" customHeight="1" x14ac:dyDescent="0.3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</row>
    <row r="200" spans="1:47" ht="14.25" customHeight="1" x14ac:dyDescent="0.3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</row>
    <row r="201" spans="1:47" ht="14.25" customHeight="1" x14ac:dyDescent="0.3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</row>
    <row r="202" spans="1:47" ht="14.25" customHeight="1" x14ac:dyDescent="0.3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</row>
    <row r="203" spans="1:47" ht="14.25" customHeight="1" x14ac:dyDescent="0.3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</row>
    <row r="204" spans="1:47" ht="14.25" customHeight="1" x14ac:dyDescent="0.3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</row>
    <row r="205" spans="1:47" ht="14.25" customHeight="1" x14ac:dyDescent="0.3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</row>
    <row r="206" spans="1:47" ht="14.25" customHeight="1" x14ac:dyDescent="0.3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</row>
    <row r="207" spans="1:47" ht="14.25" customHeight="1" x14ac:dyDescent="0.3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</row>
    <row r="208" spans="1:47" ht="14.25" customHeight="1" x14ac:dyDescent="0.3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</row>
    <row r="209" spans="1:47" ht="14.25" customHeight="1" x14ac:dyDescent="0.3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</row>
    <row r="210" spans="1:47" ht="14.25" customHeight="1" x14ac:dyDescent="0.3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</row>
    <row r="211" spans="1:47" ht="14.25" customHeight="1" x14ac:dyDescent="0.3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</row>
    <row r="212" spans="1:47" ht="14.25" customHeight="1" x14ac:dyDescent="0.3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</row>
    <row r="213" spans="1:47" ht="14.25" customHeight="1" x14ac:dyDescent="0.3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</row>
    <row r="214" spans="1:47" ht="14.25" customHeight="1" x14ac:dyDescent="0.3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</row>
    <row r="215" spans="1:47" ht="14.25" customHeight="1" x14ac:dyDescent="0.3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</row>
    <row r="216" spans="1:47" ht="14.25" customHeight="1" x14ac:dyDescent="0.3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</row>
    <row r="217" spans="1:47" ht="14.25" customHeight="1" x14ac:dyDescent="0.3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</row>
    <row r="218" spans="1:47" ht="14.25" customHeight="1" x14ac:dyDescent="0.3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</row>
    <row r="219" spans="1:47" ht="14.25" customHeight="1" x14ac:dyDescent="0.3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</row>
    <row r="220" spans="1:47" ht="14.25" customHeight="1" x14ac:dyDescent="0.3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</row>
    <row r="221" spans="1:47" ht="14.25" customHeight="1" x14ac:dyDescent="0.3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</row>
    <row r="222" spans="1:47" ht="14.25" customHeight="1" x14ac:dyDescent="0.3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</row>
    <row r="223" spans="1:47" ht="14.25" customHeight="1" x14ac:dyDescent="0.3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</row>
    <row r="224" spans="1:47" ht="14.25" customHeight="1" x14ac:dyDescent="0.3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</row>
    <row r="225" spans="1:47" ht="14.25" customHeight="1" x14ac:dyDescent="0.3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</row>
    <row r="226" spans="1:47" ht="14.25" customHeight="1" x14ac:dyDescent="0.3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</row>
    <row r="227" spans="1:47" ht="14.25" customHeight="1" x14ac:dyDescent="0.3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</row>
    <row r="228" spans="1:47" ht="14.25" customHeight="1" x14ac:dyDescent="0.3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</row>
    <row r="229" spans="1:47" ht="14.25" customHeight="1" x14ac:dyDescent="0.3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</row>
    <row r="230" spans="1:47" ht="14.25" customHeight="1" x14ac:dyDescent="0.3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</row>
    <row r="231" spans="1:47" ht="14.25" customHeight="1" x14ac:dyDescent="0.3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</row>
    <row r="232" spans="1:47" ht="14.25" customHeight="1" x14ac:dyDescent="0.3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</row>
    <row r="233" spans="1:47" ht="14.25" customHeight="1" x14ac:dyDescent="0.3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</row>
    <row r="234" spans="1:47" ht="14.25" customHeight="1" x14ac:dyDescent="0.3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</row>
    <row r="235" spans="1:47" ht="14.25" customHeight="1" x14ac:dyDescent="0.3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</row>
    <row r="236" spans="1:47" ht="14.25" customHeight="1" x14ac:dyDescent="0.3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</row>
    <row r="237" spans="1:47" ht="14.25" customHeight="1" x14ac:dyDescent="0.3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</row>
    <row r="238" spans="1:47" ht="14.25" customHeight="1" x14ac:dyDescent="0.3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</row>
    <row r="239" spans="1:47" ht="14.25" customHeight="1" x14ac:dyDescent="0.3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</row>
    <row r="240" spans="1:47" ht="14.25" customHeight="1" x14ac:dyDescent="0.3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</row>
    <row r="241" spans="1:47" ht="14.25" customHeight="1" x14ac:dyDescent="0.3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</row>
    <row r="242" spans="1:47" ht="14.25" customHeight="1" x14ac:dyDescent="0.3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</row>
    <row r="243" spans="1:47" ht="14.25" customHeight="1" x14ac:dyDescent="0.3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</row>
    <row r="244" spans="1:47" ht="14.25" customHeight="1" x14ac:dyDescent="0.3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</row>
    <row r="245" spans="1:47" ht="14.25" customHeight="1" x14ac:dyDescent="0.3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</row>
    <row r="246" spans="1:47" ht="14.25" customHeight="1" x14ac:dyDescent="0.3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</row>
    <row r="247" spans="1:47" ht="14.25" customHeight="1" x14ac:dyDescent="0.3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</row>
    <row r="248" spans="1:47" ht="14.25" customHeight="1" x14ac:dyDescent="0.3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</row>
    <row r="249" spans="1:47" ht="14.25" customHeight="1" x14ac:dyDescent="0.3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</row>
    <row r="250" spans="1:47" ht="14.25" customHeight="1" x14ac:dyDescent="0.3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</row>
    <row r="251" spans="1:47" ht="14.25" customHeight="1" x14ac:dyDescent="0.3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</row>
    <row r="252" spans="1:47" ht="14.25" customHeight="1" x14ac:dyDescent="0.3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</row>
    <row r="253" spans="1:47" ht="14.25" customHeight="1" x14ac:dyDescent="0.3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</row>
    <row r="254" spans="1:47" ht="14.25" customHeight="1" x14ac:dyDescent="0.3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</row>
    <row r="255" spans="1:47" ht="14.25" customHeight="1" x14ac:dyDescent="0.3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</row>
    <row r="256" spans="1:47" ht="14.25" customHeight="1" x14ac:dyDescent="0.3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</row>
    <row r="257" spans="1:47" ht="14.25" customHeight="1" x14ac:dyDescent="0.3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</row>
    <row r="258" spans="1:47" ht="14.25" customHeight="1" x14ac:dyDescent="0.3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</row>
    <row r="259" spans="1:47" ht="14.25" customHeight="1" x14ac:dyDescent="0.3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</row>
    <row r="260" spans="1:47" ht="14.25" customHeight="1" x14ac:dyDescent="0.3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</row>
    <row r="261" spans="1:47" ht="14.25" customHeight="1" x14ac:dyDescent="0.3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</row>
    <row r="262" spans="1:47" ht="14.25" customHeight="1" x14ac:dyDescent="0.3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</row>
    <row r="263" spans="1:47" ht="14.25" customHeight="1" x14ac:dyDescent="0.3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</row>
    <row r="264" spans="1:47" ht="14.25" customHeight="1" x14ac:dyDescent="0.3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</row>
    <row r="265" spans="1:47" ht="14.25" customHeight="1" x14ac:dyDescent="0.3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</row>
    <row r="266" spans="1:47" ht="14.25" customHeight="1" x14ac:dyDescent="0.3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</row>
    <row r="267" spans="1:47" ht="14.25" customHeight="1" x14ac:dyDescent="0.3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</row>
    <row r="268" spans="1:47" ht="14.25" customHeight="1" x14ac:dyDescent="0.3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</row>
    <row r="269" spans="1:47" ht="14.25" customHeight="1" x14ac:dyDescent="0.3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</row>
    <row r="270" spans="1:47" ht="14.25" customHeight="1" x14ac:dyDescent="0.3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</row>
    <row r="271" spans="1:47" ht="14.25" customHeight="1" x14ac:dyDescent="0.3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</row>
    <row r="272" spans="1:47" ht="14.25" customHeight="1" x14ac:dyDescent="0.3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</row>
    <row r="273" spans="1:47" ht="14.25" customHeight="1" x14ac:dyDescent="0.3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</row>
    <row r="274" spans="1:47" ht="14.25" customHeight="1" x14ac:dyDescent="0.3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</row>
    <row r="275" spans="1:47" ht="14.25" customHeight="1" x14ac:dyDescent="0.3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</row>
    <row r="276" spans="1:47" ht="14.25" customHeight="1" x14ac:dyDescent="0.3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</row>
    <row r="277" spans="1:47" ht="14.25" customHeight="1" x14ac:dyDescent="0.3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</row>
    <row r="278" spans="1:47" ht="14.25" customHeight="1" x14ac:dyDescent="0.3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</row>
    <row r="279" spans="1:47" ht="14.25" customHeight="1" x14ac:dyDescent="0.3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</row>
    <row r="280" spans="1:47" ht="14.25" customHeight="1" x14ac:dyDescent="0.3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</row>
    <row r="281" spans="1:47" ht="14.25" customHeight="1" x14ac:dyDescent="0.3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</row>
    <row r="282" spans="1:47" ht="14.25" customHeight="1" x14ac:dyDescent="0.3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</row>
    <row r="283" spans="1:47" ht="14.25" customHeight="1" x14ac:dyDescent="0.3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</row>
    <row r="284" spans="1:47" ht="14.25" customHeight="1" x14ac:dyDescent="0.3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</row>
    <row r="285" spans="1:47" ht="14.25" customHeight="1" x14ac:dyDescent="0.3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</row>
    <row r="286" spans="1:47" ht="14.25" customHeight="1" x14ac:dyDescent="0.3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</row>
    <row r="287" spans="1:47" ht="14.25" customHeight="1" x14ac:dyDescent="0.3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</row>
    <row r="288" spans="1:47" ht="14.25" customHeight="1" x14ac:dyDescent="0.3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</row>
    <row r="289" spans="1:47" ht="14.25" customHeight="1" x14ac:dyDescent="0.3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</row>
    <row r="290" spans="1:47" ht="14.25" customHeight="1" x14ac:dyDescent="0.3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</row>
    <row r="291" spans="1:47" ht="14.25" customHeight="1" x14ac:dyDescent="0.3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</row>
    <row r="292" spans="1:47" ht="14.25" customHeight="1" x14ac:dyDescent="0.3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</row>
    <row r="293" spans="1:47" ht="14.25" customHeight="1" x14ac:dyDescent="0.3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</row>
    <row r="294" spans="1:47" ht="14.25" customHeight="1" x14ac:dyDescent="0.3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</row>
    <row r="295" spans="1:47" ht="14.25" customHeight="1" x14ac:dyDescent="0.3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</row>
    <row r="296" spans="1:47" ht="14.25" customHeight="1" x14ac:dyDescent="0.3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</row>
    <row r="297" spans="1:47" ht="14.25" customHeight="1" x14ac:dyDescent="0.3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</row>
    <row r="298" spans="1:47" ht="14.25" customHeight="1" x14ac:dyDescent="0.3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</row>
    <row r="299" spans="1:47" ht="14.25" customHeight="1" x14ac:dyDescent="0.3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</row>
    <row r="300" spans="1:47" ht="14.25" customHeight="1" x14ac:dyDescent="0.3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</row>
    <row r="301" spans="1:47" ht="14.25" customHeight="1" x14ac:dyDescent="0.3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</row>
    <row r="302" spans="1:47" ht="14.25" customHeight="1" x14ac:dyDescent="0.3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</row>
    <row r="303" spans="1:47" ht="14.25" customHeight="1" x14ac:dyDescent="0.3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</row>
    <row r="304" spans="1:47" ht="14.25" customHeight="1" x14ac:dyDescent="0.3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</row>
    <row r="305" spans="1:47" ht="14.25" customHeight="1" x14ac:dyDescent="0.3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</row>
    <row r="306" spans="1:47" ht="14.25" customHeight="1" x14ac:dyDescent="0.3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</row>
    <row r="307" spans="1:47" ht="14.25" customHeight="1" x14ac:dyDescent="0.3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</row>
    <row r="308" spans="1:47" ht="14.25" customHeight="1" x14ac:dyDescent="0.3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</row>
    <row r="309" spans="1:47" ht="14.25" customHeight="1" x14ac:dyDescent="0.3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</row>
    <row r="310" spans="1:47" ht="14.25" customHeight="1" x14ac:dyDescent="0.3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</row>
    <row r="311" spans="1:47" ht="14.25" customHeight="1" x14ac:dyDescent="0.3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</row>
    <row r="312" spans="1:47" ht="14.25" customHeight="1" x14ac:dyDescent="0.3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</row>
    <row r="313" spans="1:47" ht="14.25" customHeight="1" x14ac:dyDescent="0.3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</row>
    <row r="314" spans="1:47" ht="14.25" customHeight="1" x14ac:dyDescent="0.3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</row>
    <row r="315" spans="1:47" ht="14.25" customHeight="1" x14ac:dyDescent="0.3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</row>
    <row r="316" spans="1:47" ht="14.25" customHeight="1" x14ac:dyDescent="0.3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</row>
    <row r="317" spans="1:47" ht="14.25" customHeight="1" x14ac:dyDescent="0.3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</row>
    <row r="318" spans="1:47" ht="14.25" customHeight="1" x14ac:dyDescent="0.3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</row>
    <row r="319" spans="1:47" ht="14.25" customHeight="1" x14ac:dyDescent="0.3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</row>
    <row r="320" spans="1:47" ht="14.25" customHeight="1" x14ac:dyDescent="0.3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</row>
    <row r="321" spans="1:47" ht="14.25" customHeight="1" x14ac:dyDescent="0.3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</row>
    <row r="322" spans="1:47" ht="14.25" customHeight="1" x14ac:dyDescent="0.3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</row>
    <row r="323" spans="1:47" ht="14.25" customHeight="1" x14ac:dyDescent="0.3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</row>
    <row r="324" spans="1:47" ht="14.25" customHeight="1" x14ac:dyDescent="0.3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</row>
    <row r="325" spans="1:47" ht="14.25" customHeight="1" x14ac:dyDescent="0.3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</row>
    <row r="326" spans="1:47" ht="14.25" customHeight="1" x14ac:dyDescent="0.3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</row>
    <row r="327" spans="1:47" ht="14.25" customHeight="1" x14ac:dyDescent="0.3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</row>
    <row r="328" spans="1:47" ht="14.25" customHeight="1" x14ac:dyDescent="0.3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</row>
    <row r="329" spans="1:47" ht="14.25" customHeight="1" x14ac:dyDescent="0.3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</row>
    <row r="330" spans="1:47" ht="14.25" customHeight="1" x14ac:dyDescent="0.3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</row>
    <row r="331" spans="1:47" ht="14.25" customHeight="1" x14ac:dyDescent="0.3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</row>
    <row r="332" spans="1:47" ht="14.25" customHeight="1" x14ac:dyDescent="0.3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</row>
    <row r="333" spans="1:47" ht="14.25" customHeight="1" x14ac:dyDescent="0.3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</row>
    <row r="334" spans="1:47" ht="14.25" customHeight="1" x14ac:dyDescent="0.3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</row>
    <row r="335" spans="1:47" ht="14.25" customHeight="1" x14ac:dyDescent="0.3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</row>
    <row r="336" spans="1:47" ht="14.25" customHeight="1" x14ac:dyDescent="0.3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</row>
    <row r="337" spans="1:47" ht="14.25" customHeight="1" x14ac:dyDescent="0.3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</row>
    <row r="338" spans="1:47" ht="14.25" customHeight="1" x14ac:dyDescent="0.3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</row>
    <row r="339" spans="1:47" ht="14.25" customHeight="1" x14ac:dyDescent="0.3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</row>
    <row r="340" spans="1:47" ht="14.25" customHeight="1" x14ac:dyDescent="0.3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</row>
    <row r="341" spans="1:47" ht="14.25" customHeight="1" x14ac:dyDescent="0.3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</row>
    <row r="342" spans="1:47" ht="14.25" customHeight="1" x14ac:dyDescent="0.3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</row>
    <row r="343" spans="1:47" ht="14.25" customHeight="1" x14ac:dyDescent="0.3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</row>
    <row r="344" spans="1:47" ht="14.25" customHeight="1" x14ac:dyDescent="0.3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</row>
    <row r="345" spans="1:47" ht="14.25" customHeight="1" x14ac:dyDescent="0.3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</row>
    <row r="346" spans="1:47" ht="14.25" customHeight="1" x14ac:dyDescent="0.3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</row>
    <row r="347" spans="1:47" ht="14.25" customHeight="1" x14ac:dyDescent="0.3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</row>
    <row r="348" spans="1:47" ht="14.25" customHeight="1" x14ac:dyDescent="0.3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</row>
    <row r="349" spans="1:47" ht="14.25" customHeight="1" x14ac:dyDescent="0.3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</row>
    <row r="350" spans="1:47" ht="14.25" customHeight="1" x14ac:dyDescent="0.3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</row>
    <row r="351" spans="1:47" ht="14.25" customHeight="1" x14ac:dyDescent="0.3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</row>
    <row r="352" spans="1:47" ht="14.25" customHeight="1" x14ac:dyDescent="0.3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</row>
    <row r="353" spans="1:47" ht="14.25" customHeight="1" x14ac:dyDescent="0.3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</row>
    <row r="354" spans="1:47" ht="14.25" customHeight="1" x14ac:dyDescent="0.3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</row>
    <row r="355" spans="1:47" ht="14.25" customHeight="1" x14ac:dyDescent="0.3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</row>
    <row r="356" spans="1:47" ht="14.25" customHeight="1" x14ac:dyDescent="0.3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</row>
    <row r="357" spans="1:47" ht="14.25" customHeight="1" x14ac:dyDescent="0.3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</row>
    <row r="358" spans="1:47" ht="14.25" customHeight="1" x14ac:dyDescent="0.3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</row>
    <row r="359" spans="1:47" ht="14.25" customHeight="1" x14ac:dyDescent="0.3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</row>
    <row r="360" spans="1:47" ht="14.25" customHeight="1" x14ac:dyDescent="0.3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</row>
    <row r="361" spans="1:47" ht="14.25" customHeight="1" x14ac:dyDescent="0.3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</row>
    <row r="362" spans="1:47" ht="14.25" customHeight="1" x14ac:dyDescent="0.3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</row>
    <row r="363" spans="1:47" ht="14.25" customHeight="1" x14ac:dyDescent="0.3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</row>
    <row r="364" spans="1:47" ht="14.25" customHeight="1" x14ac:dyDescent="0.3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</row>
    <row r="365" spans="1:47" ht="14.25" customHeight="1" x14ac:dyDescent="0.3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</row>
    <row r="366" spans="1:47" ht="14.25" customHeight="1" x14ac:dyDescent="0.3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</row>
    <row r="367" spans="1:47" ht="14.25" customHeight="1" x14ac:dyDescent="0.3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</row>
    <row r="368" spans="1:47" ht="14.25" customHeight="1" x14ac:dyDescent="0.3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</row>
    <row r="369" spans="1:47" ht="14.25" customHeight="1" x14ac:dyDescent="0.3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</row>
    <row r="370" spans="1:47" ht="14.25" customHeight="1" x14ac:dyDescent="0.3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</row>
    <row r="371" spans="1:47" ht="14.25" customHeight="1" x14ac:dyDescent="0.3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</row>
    <row r="372" spans="1:47" ht="14.25" customHeight="1" x14ac:dyDescent="0.3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</row>
    <row r="373" spans="1:47" ht="14.25" customHeight="1" x14ac:dyDescent="0.3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</row>
    <row r="374" spans="1:47" ht="14.25" customHeight="1" x14ac:dyDescent="0.3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</row>
    <row r="375" spans="1:47" ht="14.25" customHeight="1" x14ac:dyDescent="0.3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</row>
    <row r="376" spans="1:47" ht="14.25" customHeight="1" x14ac:dyDescent="0.3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</row>
    <row r="377" spans="1:47" ht="14.25" customHeight="1" x14ac:dyDescent="0.3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</row>
    <row r="378" spans="1:47" ht="14.25" customHeight="1" x14ac:dyDescent="0.3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</row>
    <row r="379" spans="1:47" ht="14.25" customHeight="1" x14ac:dyDescent="0.3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</row>
    <row r="380" spans="1:47" ht="14.25" customHeight="1" x14ac:dyDescent="0.3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</row>
    <row r="381" spans="1:47" ht="14.25" customHeight="1" x14ac:dyDescent="0.3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</row>
    <row r="382" spans="1:47" ht="14.25" customHeight="1" x14ac:dyDescent="0.3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</row>
    <row r="383" spans="1:47" ht="14.25" customHeight="1" x14ac:dyDescent="0.3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</row>
    <row r="384" spans="1:47" ht="14.25" customHeight="1" x14ac:dyDescent="0.3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</row>
    <row r="385" spans="1:47" ht="14.25" customHeight="1" x14ac:dyDescent="0.3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</row>
    <row r="386" spans="1:47" ht="14.25" customHeight="1" x14ac:dyDescent="0.3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</row>
    <row r="387" spans="1:47" ht="14.25" customHeight="1" x14ac:dyDescent="0.3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</row>
    <row r="388" spans="1:47" ht="14.25" customHeight="1" x14ac:dyDescent="0.3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</row>
    <row r="389" spans="1:47" ht="14.25" customHeight="1" x14ac:dyDescent="0.3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</row>
    <row r="390" spans="1:47" ht="14.25" customHeight="1" x14ac:dyDescent="0.3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</row>
    <row r="391" spans="1:47" ht="14.25" customHeight="1" x14ac:dyDescent="0.3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</row>
    <row r="392" spans="1:47" ht="14.25" customHeight="1" x14ac:dyDescent="0.3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</row>
    <row r="393" spans="1:47" ht="14.25" customHeight="1" x14ac:dyDescent="0.3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</row>
    <row r="394" spans="1:47" ht="14.25" customHeight="1" x14ac:dyDescent="0.3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</row>
    <row r="395" spans="1:47" ht="14.25" customHeight="1" x14ac:dyDescent="0.3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</row>
    <row r="396" spans="1:47" ht="14.25" customHeight="1" x14ac:dyDescent="0.3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</row>
    <row r="397" spans="1:47" ht="14.25" customHeight="1" x14ac:dyDescent="0.3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</row>
    <row r="398" spans="1:47" ht="14.25" customHeight="1" x14ac:dyDescent="0.3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</row>
    <row r="399" spans="1:47" ht="14.25" customHeight="1" x14ac:dyDescent="0.3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</row>
    <row r="400" spans="1:47" ht="14.25" customHeight="1" x14ac:dyDescent="0.3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</row>
    <row r="401" spans="1:47" ht="14.25" customHeight="1" x14ac:dyDescent="0.3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</row>
    <row r="402" spans="1:47" ht="14.25" customHeight="1" x14ac:dyDescent="0.3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</row>
    <row r="403" spans="1:47" ht="14.25" customHeight="1" x14ac:dyDescent="0.3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</row>
    <row r="404" spans="1:47" ht="14.25" customHeight="1" x14ac:dyDescent="0.3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</row>
    <row r="405" spans="1:47" ht="14.25" customHeight="1" x14ac:dyDescent="0.3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</row>
    <row r="406" spans="1:47" ht="14.25" customHeight="1" x14ac:dyDescent="0.3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</row>
    <row r="407" spans="1:47" ht="14.25" customHeight="1" x14ac:dyDescent="0.3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</row>
    <row r="408" spans="1:47" ht="14.25" customHeight="1" x14ac:dyDescent="0.3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</row>
    <row r="409" spans="1:47" ht="14.25" customHeight="1" x14ac:dyDescent="0.3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</row>
    <row r="410" spans="1:47" ht="14.25" customHeight="1" x14ac:dyDescent="0.3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</row>
    <row r="411" spans="1:47" ht="14.25" customHeight="1" x14ac:dyDescent="0.3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</row>
    <row r="412" spans="1:47" ht="14.25" customHeight="1" x14ac:dyDescent="0.3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</row>
    <row r="413" spans="1:47" ht="14.25" customHeight="1" x14ac:dyDescent="0.3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</row>
    <row r="414" spans="1:47" ht="14.25" customHeight="1" x14ac:dyDescent="0.3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</row>
    <row r="415" spans="1:47" ht="14.25" customHeight="1" x14ac:dyDescent="0.3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</row>
    <row r="416" spans="1:47" ht="14.25" customHeight="1" x14ac:dyDescent="0.3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</row>
    <row r="417" spans="1:47" ht="14.25" customHeight="1" x14ac:dyDescent="0.3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</row>
    <row r="418" spans="1:47" ht="14.25" customHeight="1" x14ac:dyDescent="0.3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</row>
    <row r="419" spans="1:47" ht="14.25" customHeight="1" x14ac:dyDescent="0.3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</row>
    <row r="420" spans="1:47" ht="14.25" customHeight="1" x14ac:dyDescent="0.3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</row>
    <row r="421" spans="1:47" ht="14.25" customHeight="1" x14ac:dyDescent="0.3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</row>
    <row r="422" spans="1:47" ht="14.25" customHeight="1" x14ac:dyDescent="0.3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</row>
    <row r="423" spans="1:47" ht="14.25" customHeight="1" x14ac:dyDescent="0.3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</row>
    <row r="424" spans="1:47" ht="14.25" customHeight="1" x14ac:dyDescent="0.3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</row>
    <row r="425" spans="1:47" ht="14.25" customHeight="1" x14ac:dyDescent="0.3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</row>
    <row r="426" spans="1:47" ht="14.25" customHeight="1" x14ac:dyDescent="0.3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</row>
    <row r="427" spans="1:47" ht="14.25" customHeight="1" x14ac:dyDescent="0.3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</row>
    <row r="428" spans="1:47" ht="14.25" customHeight="1" x14ac:dyDescent="0.3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</row>
    <row r="429" spans="1:47" ht="14.25" customHeight="1" x14ac:dyDescent="0.3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</row>
    <row r="430" spans="1:47" ht="14.25" customHeight="1" x14ac:dyDescent="0.3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</row>
    <row r="431" spans="1:47" ht="14.25" customHeight="1" x14ac:dyDescent="0.3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</row>
    <row r="432" spans="1:47" ht="14.25" customHeight="1" x14ac:dyDescent="0.3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</row>
    <row r="433" spans="1:47" ht="14.25" customHeight="1" x14ac:dyDescent="0.3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</row>
    <row r="434" spans="1:47" ht="14.25" customHeight="1" x14ac:dyDescent="0.3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</row>
    <row r="435" spans="1:47" ht="14.25" customHeight="1" x14ac:dyDescent="0.3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</row>
    <row r="436" spans="1:47" ht="14.25" customHeight="1" x14ac:dyDescent="0.3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</row>
    <row r="437" spans="1:47" ht="14.25" customHeight="1" x14ac:dyDescent="0.3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</row>
    <row r="438" spans="1:47" ht="14.25" customHeight="1" x14ac:dyDescent="0.3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</row>
    <row r="439" spans="1:47" ht="14.25" customHeight="1" x14ac:dyDescent="0.3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</row>
    <row r="440" spans="1:47" ht="14.25" customHeight="1" x14ac:dyDescent="0.3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</row>
    <row r="441" spans="1:47" ht="14.25" customHeight="1" x14ac:dyDescent="0.3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</row>
    <row r="442" spans="1:47" ht="14.25" customHeight="1" x14ac:dyDescent="0.3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</row>
    <row r="443" spans="1:47" ht="14.25" customHeight="1" x14ac:dyDescent="0.3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</row>
    <row r="444" spans="1:47" ht="14.25" customHeight="1" x14ac:dyDescent="0.3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</row>
    <row r="445" spans="1:47" ht="14.25" customHeight="1" x14ac:dyDescent="0.3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</row>
    <row r="446" spans="1:47" ht="14.25" customHeight="1" x14ac:dyDescent="0.3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</row>
    <row r="447" spans="1:47" ht="14.25" customHeight="1" x14ac:dyDescent="0.3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</row>
    <row r="448" spans="1:47" ht="14.25" customHeight="1" x14ac:dyDescent="0.3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</row>
    <row r="449" spans="1:47" ht="14.25" customHeight="1" x14ac:dyDescent="0.3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</row>
    <row r="450" spans="1:47" ht="14.25" customHeight="1" x14ac:dyDescent="0.3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</row>
    <row r="451" spans="1:47" ht="14.25" customHeight="1" x14ac:dyDescent="0.3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</row>
    <row r="452" spans="1:47" ht="14.25" customHeight="1" x14ac:dyDescent="0.3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</row>
    <row r="453" spans="1:47" ht="14.25" customHeight="1" x14ac:dyDescent="0.3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</row>
    <row r="454" spans="1:47" ht="14.25" customHeight="1" x14ac:dyDescent="0.3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</row>
    <row r="455" spans="1:47" ht="14.25" customHeight="1" x14ac:dyDescent="0.3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</row>
    <row r="456" spans="1:47" ht="14.25" customHeight="1" x14ac:dyDescent="0.3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</row>
    <row r="457" spans="1:47" ht="14.25" customHeight="1" x14ac:dyDescent="0.3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</row>
    <row r="458" spans="1:47" ht="14.25" customHeight="1" x14ac:dyDescent="0.3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</row>
    <row r="459" spans="1:47" ht="14.25" customHeight="1" x14ac:dyDescent="0.3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</row>
    <row r="460" spans="1:47" ht="14.25" customHeight="1" x14ac:dyDescent="0.3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</row>
    <row r="461" spans="1:47" ht="14.25" customHeight="1" x14ac:dyDescent="0.3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</row>
    <row r="462" spans="1:47" ht="14.25" customHeight="1" x14ac:dyDescent="0.3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</row>
    <row r="463" spans="1:47" ht="14.25" customHeight="1" x14ac:dyDescent="0.3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</row>
    <row r="464" spans="1:47" ht="14.25" customHeight="1" x14ac:dyDescent="0.3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</row>
    <row r="465" spans="1:47" ht="14.25" customHeight="1" x14ac:dyDescent="0.3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</row>
    <row r="466" spans="1:47" ht="14.25" customHeight="1" x14ac:dyDescent="0.3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</row>
    <row r="467" spans="1:47" ht="14.25" customHeight="1" x14ac:dyDescent="0.3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</row>
    <row r="468" spans="1:47" ht="14.25" customHeight="1" x14ac:dyDescent="0.3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</row>
    <row r="469" spans="1:47" ht="14.25" customHeight="1" x14ac:dyDescent="0.3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</row>
    <row r="470" spans="1:47" ht="14.25" customHeight="1" x14ac:dyDescent="0.3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</row>
    <row r="471" spans="1:47" ht="14.25" customHeight="1" x14ac:dyDescent="0.3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</row>
    <row r="472" spans="1:47" ht="14.25" customHeight="1" x14ac:dyDescent="0.3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</row>
    <row r="473" spans="1:47" ht="14.25" customHeight="1" x14ac:dyDescent="0.3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</row>
    <row r="474" spans="1:47" ht="14.25" customHeight="1" x14ac:dyDescent="0.3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</row>
    <row r="475" spans="1:47" ht="14.25" customHeight="1" x14ac:dyDescent="0.3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</row>
    <row r="476" spans="1:47" ht="14.25" customHeight="1" x14ac:dyDescent="0.3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</row>
    <row r="477" spans="1:47" ht="14.25" customHeight="1" x14ac:dyDescent="0.3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</row>
    <row r="478" spans="1:47" ht="14.25" customHeight="1" x14ac:dyDescent="0.3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</row>
    <row r="479" spans="1:47" ht="14.25" customHeight="1" x14ac:dyDescent="0.3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</row>
    <row r="480" spans="1:47" ht="14.25" customHeight="1" x14ac:dyDescent="0.3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</row>
    <row r="481" spans="1:47" ht="14.25" customHeight="1" x14ac:dyDescent="0.3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</row>
    <row r="482" spans="1:47" ht="14.25" customHeight="1" x14ac:dyDescent="0.3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</row>
    <row r="483" spans="1:47" ht="14.25" customHeight="1" x14ac:dyDescent="0.3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</row>
    <row r="484" spans="1:47" ht="14.25" customHeight="1" x14ac:dyDescent="0.3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</row>
    <row r="485" spans="1:47" ht="14.25" customHeight="1" x14ac:dyDescent="0.3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</row>
    <row r="486" spans="1:47" ht="14.25" customHeight="1" x14ac:dyDescent="0.3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</row>
    <row r="487" spans="1:47" ht="14.25" customHeight="1" x14ac:dyDescent="0.3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</row>
    <row r="488" spans="1:47" ht="14.25" customHeight="1" x14ac:dyDescent="0.3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</row>
    <row r="489" spans="1:47" ht="14.25" customHeight="1" x14ac:dyDescent="0.3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</row>
    <row r="490" spans="1:47" ht="14.25" customHeight="1" x14ac:dyDescent="0.3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</row>
    <row r="491" spans="1:47" ht="14.25" customHeight="1" x14ac:dyDescent="0.3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</row>
    <row r="492" spans="1:47" ht="14.25" customHeight="1" x14ac:dyDescent="0.3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</row>
    <row r="493" spans="1:47" ht="14.25" customHeight="1" x14ac:dyDescent="0.3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</row>
    <row r="494" spans="1:47" ht="14.25" customHeight="1" x14ac:dyDescent="0.3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</row>
    <row r="495" spans="1:47" ht="14.25" customHeight="1" x14ac:dyDescent="0.3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</row>
    <row r="496" spans="1:47" ht="14.25" customHeight="1" x14ac:dyDescent="0.3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</row>
    <row r="497" spans="1:47" ht="14.25" customHeight="1" x14ac:dyDescent="0.3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</row>
    <row r="498" spans="1:47" ht="14.25" customHeight="1" x14ac:dyDescent="0.3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</row>
    <row r="499" spans="1:47" ht="14.25" customHeight="1" x14ac:dyDescent="0.3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</row>
    <row r="500" spans="1:47" ht="14.25" customHeight="1" x14ac:dyDescent="0.3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</row>
    <row r="501" spans="1:47" ht="14.25" customHeight="1" x14ac:dyDescent="0.3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</row>
    <row r="502" spans="1:47" ht="14.25" customHeight="1" x14ac:dyDescent="0.3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</row>
    <row r="503" spans="1:47" ht="14.25" customHeight="1" x14ac:dyDescent="0.3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</row>
    <row r="504" spans="1:47" ht="14.25" customHeight="1" x14ac:dyDescent="0.3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</row>
    <row r="505" spans="1:47" ht="14.25" customHeight="1" x14ac:dyDescent="0.3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</row>
    <row r="506" spans="1:47" ht="14.25" customHeight="1" x14ac:dyDescent="0.3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</row>
    <row r="507" spans="1:47" ht="14.25" customHeight="1" x14ac:dyDescent="0.3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</row>
    <row r="508" spans="1:47" ht="14.25" customHeight="1" x14ac:dyDescent="0.3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</row>
    <row r="509" spans="1:47" ht="14.25" customHeight="1" x14ac:dyDescent="0.3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</row>
    <row r="510" spans="1:47" ht="14.25" customHeight="1" x14ac:dyDescent="0.3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</row>
    <row r="511" spans="1:47" ht="14.25" customHeight="1" x14ac:dyDescent="0.3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</row>
    <row r="512" spans="1:47" ht="14.25" customHeight="1" x14ac:dyDescent="0.3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</row>
    <row r="513" spans="1:47" ht="14.25" customHeight="1" x14ac:dyDescent="0.3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</row>
    <row r="514" spans="1:47" ht="14.25" customHeight="1" x14ac:dyDescent="0.3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</row>
    <row r="515" spans="1:47" ht="14.25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</row>
    <row r="516" spans="1:47" ht="14.25" customHeight="1" x14ac:dyDescent="0.3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</row>
    <row r="517" spans="1:47" ht="14.25" customHeight="1" x14ac:dyDescent="0.3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</row>
    <row r="518" spans="1:47" ht="14.25" customHeight="1" x14ac:dyDescent="0.3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</row>
    <row r="519" spans="1:47" ht="14.25" customHeight="1" x14ac:dyDescent="0.3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</row>
    <row r="520" spans="1:47" ht="14.25" customHeight="1" x14ac:dyDescent="0.3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</row>
    <row r="521" spans="1:47" ht="14.25" customHeight="1" x14ac:dyDescent="0.3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</row>
    <row r="522" spans="1:47" ht="14.25" customHeight="1" x14ac:dyDescent="0.3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</row>
    <row r="523" spans="1:47" ht="14.25" customHeight="1" x14ac:dyDescent="0.3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</row>
    <row r="524" spans="1:47" ht="14.25" customHeight="1" x14ac:dyDescent="0.3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</row>
    <row r="525" spans="1:47" ht="14.25" customHeight="1" x14ac:dyDescent="0.3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</row>
    <row r="526" spans="1:47" ht="14.25" customHeight="1" x14ac:dyDescent="0.3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</row>
    <row r="527" spans="1:47" ht="14.25" customHeight="1" x14ac:dyDescent="0.3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</row>
    <row r="528" spans="1:47" ht="14.25" customHeight="1" x14ac:dyDescent="0.3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</row>
    <row r="529" spans="1:47" ht="14.25" customHeight="1" x14ac:dyDescent="0.3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</row>
    <row r="530" spans="1:47" ht="14.25" customHeight="1" x14ac:dyDescent="0.3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</row>
    <row r="531" spans="1:47" ht="14.25" customHeight="1" x14ac:dyDescent="0.3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</row>
    <row r="532" spans="1:47" ht="14.25" customHeight="1" x14ac:dyDescent="0.3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</row>
    <row r="533" spans="1:47" ht="14.25" customHeight="1" x14ac:dyDescent="0.3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</row>
    <row r="534" spans="1:47" ht="14.25" customHeight="1" x14ac:dyDescent="0.3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</row>
    <row r="535" spans="1:47" ht="14.25" customHeight="1" x14ac:dyDescent="0.3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</row>
    <row r="536" spans="1:47" ht="14.25" customHeight="1" x14ac:dyDescent="0.3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</row>
    <row r="537" spans="1:47" ht="14.25" customHeight="1" x14ac:dyDescent="0.3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</row>
    <row r="538" spans="1:47" ht="14.25" customHeight="1" x14ac:dyDescent="0.3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</row>
    <row r="539" spans="1:47" ht="14.25" customHeight="1" x14ac:dyDescent="0.3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</row>
    <row r="540" spans="1:47" ht="14.25" customHeight="1" x14ac:dyDescent="0.3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</row>
    <row r="541" spans="1:47" ht="14.25" customHeight="1" x14ac:dyDescent="0.3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</row>
    <row r="542" spans="1:47" ht="14.25" customHeight="1" x14ac:dyDescent="0.3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</row>
    <row r="543" spans="1:47" ht="14.25" customHeight="1" x14ac:dyDescent="0.3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</row>
    <row r="544" spans="1:47" ht="14.25" customHeight="1" x14ac:dyDescent="0.3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</row>
    <row r="545" spans="1:47" ht="14.25" customHeight="1" x14ac:dyDescent="0.3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</row>
    <row r="546" spans="1:47" ht="14.25" customHeight="1" x14ac:dyDescent="0.3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</row>
    <row r="547" spans="1:47" ht="14.25" customHeight="1" x14ac:dyDescent="0.3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</row>
    <row r="548" spans="1:47" ht="14.25" customHeight="1" x14ac:dyDescent="0.3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</row>
    <row r="549" spans="1:47" ht="14.25" customHeight="1" x14ac:dyDescent="0.3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</row>
    <row r="550" spans="1:47" ht="14.25" customHeight="1" x14ac:dyDescent="0.3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</row>
    <row r="551" spans="1:47" ht="14.25" customHeight="1" x14ac:dyDescent="0.3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</row>
    <row r="552" spans="1:47" ht="14.25" customHeight="1" x14ac:dyDescent="0.3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</row>
    <row r="553" spans="1:47" ht="14.25" customHeight="1" x14ac:dyDescent="0.3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</row>
    <row r="554" spans="1:47" ht="14.25" customHeight="1" x14ac:dyDescent="0.3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</row>
    <row r="555" spans="1:47" ht="14.25" customHeight="1" x14ac:dyDescent="0.3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</row>
    <row r="556" spans="1:47" ht="14.25" customHeight="1" x14ac:dyDescent="0.3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</row>
    <row r="557" spans="1:47" ht="14.25" customHeight="1" x14ac:dyDescent="0.3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</row>
    <row r="558" spans="1:47" ht="14.25" customHeight="1" x14ac:dyDescent="0.3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</row>
    <row r="559" spans="1:47" ht="14.25" customHeight="1" x14ac:dyDescent="0.3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</row>
    <row r="560" spans="1:47" ht="14.25" customHeight="1" x14ac:dyDescent="0.3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</row>
    <row r="561" spans="1:47" ht="14.25" customHeight="1" x14ac:dyDescent="0.3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</row>
    <row r="562" spans="1:47" ht="14.25" customHeight="1" x14ac:dyDescent="0.3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</row>
    <row r="563" spans="1:47" ht="14.25" customHeight="1" x14ac:dyDescent="0.3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</row>
    <row r="564" spans="1:47" ht="14.25" customHeight="1" x14ac:dyDescent="0.3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</row>
    <row r="565" spans="1:47" ht="14.25" customHeight="1" x14ac:dyDescent="0.3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</row>
    <row r="566" spans="1:47" ht="14.25" customHeight="1" x14ac:dyDescent="0.3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</row>
    <row r="567" spans="1:47" ht="14.25" customHeight="1" x14ac:dyDescent="0.3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</row>
    <row r="568" spans="1:47" ht="14.25" customHeight="1" x14ac:dyDescent="0.3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</row>
    <row r="569" spans="1:47" ht="14.25" customHeight="1" x14ac:dyDescent="0.3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</row>
    <row r="570" spans="1:47" ht="14.25" customHeight="1" x14ac:dyDescent="0.3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</row>
    <row r="571" spans="1:47" ht="14.25" customHeight="1" x14ac:dyDescent="0.3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</row>
    <row r="572" spans="1:47" ht="14.25" customHeight="1" x14ac:dyDescent="0.3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</row>
    <row r="573" spans="1:47" ht="14.25" customHeight="1" x14ac:dyDescent="0.3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  <c r="AO573" s="109"/>
      <c r="AP573" s="109"/>
      <c r="AQ573" s="109"/>
      <c r="AR573" s="109"/>
      <c r="AS573" s="109"/>
      <c r="AT573" s="109"/>
      <c r="AU573" s="109"/>
    </row>
    <row r="574" spans="1:47" ht="14.25" customHeight="1" x14ac:dyDescent="0.3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Q574" s="109"/>
      <c r="AR574" s="109"/>
      <c r="AS574" s="109"/>
      <c r="AT574" s="109"/>
      <c r="AU574" s="109"/>
    </row>
    <row r="575" spans="1:47" ht="14.25" customHeight="1" x14ac:dyDescent="0.3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  <c r="AO575" s="109"/>
      <c r="AP575" s="109"/>
      <c r="AQ575" s="109"/>
      <c r="AR575" s="109"/>
      <c r="AS575" s="109"/>
      <c r="AT575" s="109"/>
      <c r="AU575" s="109"/>
    </row>
    <row r="576" spans="1:47" ht="14.25" customHeight="1" x14ac:dyDescent="0.3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  <c r="AO576" s="109"/>
      <c r="AP576" s="109"/>
      <c r="AQ576" s="109"/>
      <c r="AR576" s="109"/>
      <c r="AS576" s="109"/>
      <c r="AT576" s="109"/>
      <c r="AU576" s="109"/>
    </row>
    <row r="577" spans="1:47" ht="14.25" customHeight="1" x14ac:dyDescent="0.3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</row>
    <row r="578" spans="1:47" ht="14.25" customHeight="1" x14ac:dyDescent="0.3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09"/>
      <c r="AP578" s="109"/>
      <c r="AQ578" s="109"/>
      <c r="AR578" s="109"/>
      <c r="AS578" s="109"/>
      <c r="AT578" s="109"/>
      <c r="AU578" s="109"/>
    </row>
    <row r="579" spans="1:47" ht="14.25" customHeight="1" x14ac:dyDescent="0.3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09"/>
      <c r="AP579" s="109"/>
      <c r="AQ579" s="109"/>
      <c r="AR579" s="109"/>
      <c r="AS579" s="109"/>
      <c r="AT579" s="109"/>
      <c r="AU579" s="109"/>
    </row>
    <row r="580" spans="1:47" ht="14.25" customHeight="1" x14ac:dyDescent="0.3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  <c r="AO580" s="109"/>
      <c r="AP580" s="109"/>
      <c r="AQ580" s="109"/>
      <c r="AR580" s="109"/>
      <c r="AS580" s="109"/>
      <c r="AT580" s="109"/>
      <c r="AU580" s="109"/>
    </row>
    <row r="581" spans="1:47" ht="14.25" customHeight="1" x14ac:dyDescent="0.3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Q581" s="109"/>
      <c r="AR581" s="109"/>
      <c r="AS581" s="109"/>
      <c r="AT581" s="109"/>
      <c r="AU581" s="109"/>
    </row>
    <row r="582" spans="1:47" ht="14.25" customHeight="1" x14ac:dyDescent="0.3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09"/>
      <c r="AP582" s="109"/>
      <c r="AQ582" s="109"/>
      <c r="AR582" s="109"/>
      <c r="AS582" s="109"/>
      <c r="AT582" s="109"/>
      <c r="AU582" s="109"/>
    </row>
    <row r="583" spans="1:47" ht="14.25" customHeight="1" x14ac:dyDescent="0.3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09"/>
      <c r="AP583" s="109"/>
      <c r="AQ583" s="109"/>
      <c r="AR583" s="109"/>
      <c r="AS583" s="109"/>
      <c r="AT583" s="109"/>
      <c r="AU583" s="109"/>
    </row>
    <row r="584" spans="1:47" ht="14.25" customHeight="1" x14ac:dyDescent="0.3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09"/>
      <c r="AP584" s="109"/>
      <c r="AQ584" s="109"/>
      <c r="AR584" s="109"/>
      <c r="AS584" s="109"/>
      <c r="AT584" s="109"/>
      <c r="AU584" s="109"/>
    </row>
    <row r="585" spans="1:47" ht="14.25" customHeight="1" x14ac:dyDescent="0.3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09"/>
      <c r="AP585" s="109"/>
      <c r="AQ585" s="109"/>
      <c r="AR585" s="109"/>
      <c r="AS585" s="109"/>
      <c r="AT585" s="109"/>
      <c r="AU585" s="109"/>
    </row>
    <row r="586" spans="1:47" ht="14.25" customHeight="1" x14ac:dyDescent="0.3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09"/>
      <c r="AP586" s="109"/>
      <c r="AQ586" s="109"/>
      <c r="AR586" s="109"/>
      <c r="AS586" s="109"/>
      <c r="AT586" s="109"/>
      <c r="AU586" s="109"/>
    </row>
    <row r="587" spans="1:47" ht="14.25" customHeight="1" x14ac:dyDescent="0.3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09"/>
      <c r="AP587" s="109"/>
      <c r="AQ587" s="109"/>
      <c r="AR587" s="109"/>
      <c r="AS587" s="109"/>
      <c r="AT587" s="109"/>
      <c r="AU587" s="109"/>
    </row>
    <row r="588" spans="1:47" ht="14.25" customHeight="1" x14ac:dyDescent="0.3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09"/>
      <c r="AP588" s="109"/>
      <c r="AQ588" s="109"/>
      <c r="AR588" s="109"/>
      <c r="AS588" s="109"/>
      <c r="AT588" s="109"/>
      <c r="AU588" s="109"/>
    </row>
    <row r="589" spans="1:47" ht="14.25" customHeight="1" x14ac:dyDescent="0.3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09"/>
      <c r="AP589" s="109"/>
      <c r="AQ589" s="109"/>
      <c r="AR589" s="109"/>
      <c r="AS589" s="109"/>
      <c r="AT589" s="109"/>
      <c r="AU589" s="109"/>
    </row>
    <row r="590" spans="1:47" ht="14.25" customHeight="1" x14ac:dyDescent="0.3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</row>
    <row r="591" spans="1:47" ht="14.25" customHeight="1" x14ac:dyDescent="0.3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</row>
    <row r="592" spans="1:47" ht="14.25" customHeight="1" x14ac:dyDescent="0.3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  <c r="AO592" s="109"/>
      <c r="AP592" s="109"/>
      <c r="AQ592" s="109"/>
      <c r="AR592" s="109"/>
      <c r="AS592" s="109"/>
      <c r="AT592" s="109"/>
      <c r="AU592" s="109"/>
    </row>
    <row r="593" spans="1:47" ht="14.25" customHeight="1" x14ac:dyDescent="0.3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  <c r="AO593" s="109"/>
      <c r="AP593" s="109"/>
      <c r="AQ593" s="109"/>
      <c r="AR593" s="109"/>
      <c r="AS593" s="109"/>
      <c r="AT593" s="109"/>
      <c r="AU593" s="109"/>
    </row>
    <row r="594" spans="1:47" ht="14.25" customHeight="1" x14ac:dyDescent="0.3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09"/>
      <c r="AP594" s="109"/>
      <c r="AQ594" s="109"/>
      <c r="AR594" s="109"/>
      <c r="AS594" s="109"/>
      <c r="AT594" s="109"/>
      <c r="AU594" s="109"/>
    </row>
    <row r="595" spans="1:47" ht="14.25" customHeight="1" x14ac:dyDescent="0.3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  <c r="AO595" s="109"/>
      <c r="AP595" s="109"/>
      <c r="AQ595" s="109"/>
      <c r="AR595" s="109"/>
      <c r="AS595" s="109"/>
      <c r="AT595" s="109"/>
      <c r="AU595" s="109"/>
    </row>
    <row r="596" spans="1:47" ht="14.25" customHeight="1" x14ac:dyDescent="0.3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  <c r="AO596" s="109"/>
      <c r="AP596" s="109"/>
      <c r="AQ596" s="109"/>
      <c r="AR596" s="109"/>
      <c r="AS596" s="109"/>
      <c r="AT596" s="109"/>
      <c r="AU596" s="109"/>
    </row>
    <row r="597" spans="1:47" ht="14.25" customHeight="1" x14ac:dyDescent="0.3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09"/>
      <c r="AP597" s="109"/>
      <c r="AQ597" s="109"/>
      <c r="AR597" s="109"/>
      <c r="AS597" s="109"/>
      <c r="AT597" s="109"/>
      <c r="AU597" s="109"/>
    </row>
    <row r="598" spans="1:47" ht="14.25" customHeight="1" x14ac:dyDescent="0.3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09"/>
      <c r="AP598" s="109"/>
      <c r="AQ598" s="109"/>
      <c r="AR598" s="109"/>
      <c r="AS598" s="109"/>
      <c r="AT598" s="109"/>
      <c r="AU598" s="109"/>
    </row>
    <row r="599" spans="1:47" ht="14.25" customHeight="1" x14ac:dyDescent="0.3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  <c r="AO599" s="109"/>
      <c r="AP599" s="109"/>
      <c r="AQ599" s="109"/>
      <c r="AR599" s="109"/>
      <c r="AS599" s="109"/>
      <c r="AT599" s="109"/>
      <c r="AU599" s="109"/>
    </row>
    <row r="600" spans="1:47" ht="14.25" customHeight="1" x14ac:dyDescent="0.3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</row>
    <row r="601" spans="1:47" ht="14.25" customHeight="1" x14ac:dyDescent="0.3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</row>
    <row r="602" spans="1:47" ht="14.25" customHeight="1" x14ac:dyDescent="0.3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09"/>
      <c r="AP602" s="109"/>
      <c r="AQ602" s="109"/>
      <c r="AR602" s="109"/>
      <c r="AS602" s="109"/>
      <c r="AT602" s="109"/>
      <c r="AU602" s="109"/>
    </row>
    <row r="603" spans="1:47" ht="14.25" customHeight="1" x14ac:dyDescent="0.3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  <c r="AO603" s="109"/>
      <c r="AP603" s="109"/>
      <c r="AQ603" s="109"/>
      <c r="AR603" s="109"/>
      <c r="AS603" s="109"/>
      <c r="AT603" s="109"/>
      <c r="AU603" s="109"/>
    </row>
    <row r="604" spans="1:47" ht="14.25" customHeight="1" x14ac:dyDescent="0.3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  <c r="AO604" s="109"/>
      <c r="AP604" s="109"/>
      <c r="AQ604" s="109"/>
      <c r="AR604" s="109"/>
      <c r="AS604" s="109"/>
      <c r="AT604" s="109"/>
      <c r="AU604" s="109"/>
    </row>
    <row r="605" spans="1:47" ht="14.25" customHeight="1" x14ac:dyDescent="0.3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  <c r="AO605" s="109"/>
      <c r="AP605" s="109"/>
      <c r="AQ605" s="109"/>
      <c r="AR605" s="109"/>
      <c r="AS605" s="109"/>
      <c r="AT605" s="109"/>
      <c r="AU605" s="109"/>
    </row>
    <row r="606" spans="1:47" ht="14.25" customHeight="1" x14ac:dyDescent="0.3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  <c r="AO606" s="109"/>
      <c r="AP606" s="109"/>
      <c r="AQ606" s="109"/>
      <c r="AR606" s="109"/>
      <c r="AS606" s="109"/>
      <c r="AT606" s="109"/>
      <c r="AU606" s="109"/>
    </row>
    <row r="607" spans="1:47" ht="14.25" customHeight="1" x14ac:dyDescent="0.3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109"/>
      <c r="AP607" s="109"/>
      <c r="AQ607" s="109"/>
      <c r="AR607" s="109"/>
      <c r="AS607" s="109"/>
      <c r="AT607" s="109"/>
      <c r="AU607" s="109"/>
    </row>
    <row r="608" spans="1:47" ht="14.25" customHeight="1" x14ac:dyDescent="0.3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</row>
    <row r="609" spans="1:47" ht="14.25" customHeight="1" x14ac:dyDescent="0.3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  <c r="AO609" s="109"/>
      <c r="AP609" s="109"/>
      <c r="AQ609" s="109"/>
      <c r="AR609" s="109"/>
      <c r="AS609" s="109"/>
      <c r="AT609" s="109"/>
      <c r="AU609" s="109"/>
    </row>
    <row r="610" spans="1:47" ht="14.25" customHeight="1" x14ac:dyDescent="0.3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09"/>
      <c r="AP610" s="109"/>
      <c r="AQ610" s="109"/>
      <c r="AR610" s="109"/>
      <c r="AS610" s="109"/>
      <c r="AT610" s="109"/>
      <c r="AU610" s="109"/>
    </row>
    <row r="611" spans="1:47" ht="14.25" customHeight="1" x14ac:dyDescent="0.3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  <c r="AO611" s="109"/>
      <c r="AP611" s="109"/>
      <c r="AQ611" s="109"/>
      <c r="AR611" s="109"/>
      <c r="AS611" s="109"/>
      <c r="AT611" s="109"/>
      <c r="AU611" s="109"/>
    </row>
    <row r="612" spans="1:47" ht="14.25" customHeight="1" x14ac:dyDescent="0.3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09"/>
      <c r="AP612" s="109"/>
      <c r="AQ612" s="109"/>
      <c r="AR612" s="109"/>
      <c r="AS612" s="109"/>
      <c r="AT612" s="109"/>
      <c r="AU612" s="109"/>
    </row>
    <row r="613" spans="1:47" ht="14.25" customHeight="1" x14ac:dyDescent="0.3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</row>
    <row r="614" spans="1:47" ht="14.25" customHeight="1" x14ac:dyDescent="0.3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09"/>
      <c r="AP614" s="109"/>
      <c r="AQ614" s="109"/>
      <c r="AR614" s="109"/>
      <c r="AS614" s="109"/>
      <c r="AT614" s="109"/>
      <c r="AU614" s="109"/>
    </row>
    <row r="615" spans="1:47" ht="14.25" customHeight="1" x14ac:dyDescent="0.3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  <c r="AO615" s="109"/>
      <c r="AP615" s="109"/>
      <c r="AQ615" s="109"/>
      <c r="AR615" s="109"/>
      <c r="AS615" s="109"/>
      <c r="AT615" s="109"/>
      <c r="AU615" s="109"/>
    </row>
    <row r="616" spans="1:47" ht="14.25" customHeight="1" x14ac:dyDescent="0.3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09"/>
      <c r="AP616" s="109"/>
      <c r="AQ616" s="109"/>
      <c r="AR616" s="109"/>
      <c r="AS616" s="109"/>
      <c r="AT616" s="109"/>
      <c r="AU616" s="109"/>
    </row>
    <row r="617" spans="1:47" ht="14.25" customHeight="1" x14ac:dyDescent="0.3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  <c r="AO617" s="109"/>
      <c r="AP617" s="109"/>
      <c r="AQ617" s="109"/>
      <c r="AR617" s="109"/>
      <c r="AS617" s="109"/>
      <c r="AT617" s="109"/>
      <c r="AU617" s="109"/>
    </row>
    <row r="618" spans="1:47" ht="14.25" customHeight="1" x14ac:dyDescent="0.3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  <c r="AO618" s="109"/>
      <c r="AP618" s="109"/>
      <c r="AQ618" s="109"/>
      <c r="AR618" s="109"/>
      <c r="AS618" s="109"/>
      <c r="AT618" s="109"/>
      <c r="AU618" s="109"/>
    </row>
    <row r="619" spans="1:47" ht="14.25" customHeight="1" x14ac:dyDescent="0.3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  <c r="AO619" s="109"/>
      <c r="AP619" s="109"/>
      <c r="AQ619" s="109"/>
      <c r="AR619" s="109"/>
      <c r="AS619" s="109"/>
      <c r="AT619" s="109"/>
      <c r="AU619" s="109"/>
    </row>
    <row r="620" spans="1:47" ht="14.25" customHeight="1" x14ac:dyDescent="0.3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  <c r="AO620" s="109"/>
      <c r="AP620" s="109"/>
      <c r="AQ620" s="109"/>
      <c r="AR620" s="109"/>
      <c r="AS620" s="109"/>
      <c r="AT620" s="109"/>
      <c r="AU620" s="109"/>
    </row>
    <row r="621" spans="1:47" ht="14.25" customHeight="1" x14ac:dyDescent="0.3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  <c r="AO621" s="109"/>
      <c r="AP621" s="109"/>
      <c r="AQ621" s="109"/>
      <c r="AR621" s="109"/>
      <c r="AS621" s="109"/>
      <c r="AT621" s="109"/>
      <c r="AU621" s="109"/>
    </row>
    <row r="622" spans="1:47" ht="14.25" customHeight="1" x14ac:dyDescent="0.3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</row>
    <row r="623" spans="1:47" ht="14.25" customHeight="1" x14ac:dyDescent="0.3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</row>
    <row r="624" spans="1:47" ht="14.25" customHeight="1" x14ac:dyDescent="0.3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</row>
    <row r="625" spans="1:47" ht="14.25" customHeight="1" x14ac:dyDescent="0.3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</row>
    <row r="626" spans="1:47" ht="14.25" customHeight="1" x14ac:dyDescent="0.3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09"/>
      <c r="AP626" s="109"/>
      <c r="AQ626" s="109"/>
      <c r="AR626" s="109"/>
      <c r="AS626" s="109"/>
      <c r="AT626" s="109"/>
      <c r="AU626" s="109"/>
    </row>
    <row r="627" spans="1:47" ht="14.25" customHeight="1" x14ac:dyDescent="0.3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</row>
    <row r="628" spans="1:47" ht="14.25" customHeight="1" x14ac:dyDescent="0.3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</row>
    <row r="629" spans="1:47" ht="14.25" customHeight="1" x14ac:dyDescent="0.3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09"/>
      <c r="AP629" s="109"/>
      <c r="AQ629" s="109"/>
      <c r="AR629" s="109"/>
      <c r="AS629" s="109"/>
      <c r="AT629" s="109"/>
      <c r="AU629" s="109"/>
    </row>
    <row r="630" spans="1:47" ht="14.25" customHeight="1" x14ac:dyDescent="0.3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  <c r="AO630" s="109"/>
      <c r="AP630" s="109"/>
      <c r="AQ630" s="109"/>
      <c r="AR630" s="109"/>
      <c r="AS630" s="109"/>
      <c r="AT630" s="109"/>
      <c r="AU630" s="109"/>
    </row>
    <row r="631" spans="1:47" ht="14.25" customHeight="1" x14ac:dyDescent="0.3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  <c r="AO631" s="109"/>
      <c r="AP631" s="109"/>
      <c r="AQ631" s="109"/>
      <c r="AR631" s="109"/>
      <c r="AS631" s="109"/>
      <c r="AT631" s="109"/>
      <c r="AU631" s="109"/>
    </row>
    <row r="632" spans="1:47" ht="14.25" customHeight="1" x14ac:dyDescent="0.3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  <c r="AO632" s="109"/>
      <c r="AP632" s="109"/>
      <c r="AQ632" s="109"/>
      <c r="AR632" s="109"/>
      <c r="AS632" s="109"/>
      <c r="AT632" s="109"/>
      <c r="AU632" s="109"/>
    </row>
    <row r="633" spans="1:47" ht="14.25" customHeight="1" x14ac:dyDescent="0.3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  <c r="AO633" s="109"/>
      <c r="AP633" s="109"/>
      <c r="AQ633" s="109"/>
      <c r="AR633" s="109"/>
      <c r="AS633" s="109"/>
      <c r="AT633" s="109"/>
      <c r="AU633" s="109"/>
    </row>
    <row r="634" spans="1:47" ht="14.25" customHeight="1" x14ac:dyDescent="0.3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09"/>
      <c r="AP634" s="109"/>
      <c r="AQ634" s="109"/>
      <c r="AR634" s="109"/>
      <c r="AS634" s="109"/>
      <c r="AT634" s="109"/>
      <c r="AU634" s="109"/>
    </row>
    <row r="635" spans="1:47" ht="14.25" customHeight="1" x14ac:dyDescent="0.3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09"/>
      <c r="AP635" s="109"/>
      <c r="AQ635" s="109"/>
      <c r="AR635" s="109"/>
      <c r="AS635" s="109"/>
      <c r="AT635" s="109"/>
      <c r="AU635" s="109"/>
    </row>
    <row r="636" spans="1:47" ht="14.25" customHeight="1" x14ac:dyDescent="0.3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  <c r="AO636" s="109"/>
      <c r="AP636" s="109"/>
      <c r="AQ636" s="109"/>
      <c r="AR636" s="109"/>
      <c r="AS636" s="109"/>
      <c r="AT636" s="109"/>
      <c r="AU636" s="109"/>
    </row>
    <row r="637" spans="1:47" ht="14.25" customHeight="1" x14ac:dyDescent="0.3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  <c r="AO637" s="109"/>
      <c r="AP637" s="109"/>
      <c r="AQ637" s="109"/>
      <c r="AR637" s="109"/>
      <c r="AS637" s="109"/>
      <c r="AT637" s="109"/>
      <c r="AU637" s="109"/>
    </row>
    <row r="638" spans="1:47" ht="14.25" customHeight="1" x14ac:dyDescent="0.3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  <c r="AO638" s="109"/>
      <c r="AP638" s="109"/>
      <c r="AQ638" s="109"/>
      <c r="AR638" s="109"/>
      <c r="AS638" s="109"/>
      <c r="AT638" s="109"/>
      <c r="AU638" s="109"/>
    </row>
    <row r="639" spans="1:47" ht="14.25" customHeight="1" x14ac:dyDescent="0.3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  <c r="AO639" s="109"/>
      <c r="AP639" s="109"/>
      <c r="AQ639" s="109"/>
      <c r="AR639" s="109"/>
      <c r="AS639" s="109"/>
      <c r="AT639" s="109"/>
      <c r="AU639" s="109"/>
    </row>
    <row r="640" spans="1:47" ht="14.25" customHeight="1" x14ac:dyDescent="0.3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  <c r="AO640" s="109"/>
      <c r="AP640" s="109"/>
      <c r="AQ640" s="109"/>
      <c r="AR640" s="109"/>
      <c r="AS640" s="109"/>
      <c r="AT640" s="109"/>
      <c r="AU640" s="109"/>
    </row>
    <row r="641" spans="1:47" ht="14.25" customHeight="1" x14ac:dyDescent="0.3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/>
      <c r="AM641" s="109"/>
      <c r="AN641" s="109"/>
      <c r="AO641" s="109"/>
      <c r="AP641" s="109"/>
      <c r="AQ641" s="109"/>
      <c r="AR641" s="109"/>
      <c r="AS641" s="109"/>
      <c r="AT641" s="109"/>
      <c r="AU641" s="109"/>
    </row>
    <row r="642" spans="1:47" ht="14.25" customHeight="1" x14ac:dyDescent="0.3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  <c r="AO642" s="109"/>
      <c r="AP642" s="109"/>
      <c r="AQ642" s="109"/>
      <c r="AR642" s="109"/>
      <c r="AS642" s="109"/>
      <c r="AT642" s="109"/>
      <c r="AU642" s="109"/>
    </row>
    <row r="643" spans="1:47" ht="14.25" customHeight="1" x14ac:dyDescent="0.3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  <c r="AO643" s="109"/>
      <c r="AP643" s="109"/>
      <c r="AQ643" s="109"/>
      <c r="AR643" s="109"/>
      <c r="AS643" s="109"/>
      <c r="AT643" s="109"/>
      <c r="AU643" s="109"/>
    </row>
    <row r="644" spans="1:47" ht="14.25" customHeight="1" x14ac:dyDescent="0.3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  <c r="AL644" s="109"/>
      <c r="AM644" s="109"/>
      <c r="AN644" s="109"/>
      <c r="AO644" s="109"/>
      <c r="AP644" s="109"/>
      <c r="AQ644" s="109"/>
      <c r="AR644" s="109"/>
      <c r="AS644" s="109"/>
      <c r="AT644" s="109"/>
      <c r="AU644" s="109"/>
    </row>
    <row r="645" spans="1:47" ht="14.25" customHeight="1" x14ac:dyDescent="0.3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  <c r="AL645" s="109"/>
      <c r="AM645" s="109"/>
      <c r="AN645" s="109"/>
      <c r="AO645" s="109"/>
      <c r="AP645" s="109"/>
      <c r="AQ645" s="109"/>
      <c r="AR645" s="109"/>
      <c r="AS645" s="109"/>
      <c r="AT645" s="109"/>
      <c r="AU645" s="109"/>
    </row>
    <row r="646" spans="1:47" ht="14.25" customHeight="1" x14ac:dyDescent="0.3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  <c r="AO646" s="109"/>
      <c r="AP646" s="109"/>
      <c r="AQ646" s="109"/>
      <c r="AR646" s="109"/>
      <c r="AS646" s="109"/>
      <c r="AT646" s="109"/>
      <c r="AU646" s="109"/>
    </row>
    <row r="647" spans="1:47" ht="14.25" customHeight="1" x14ac:dyDescent="0.3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  <c r="AO647" s="109"/>
      <c r="AP647" s="109"/>
      <c r="AQ647" s="109"/>
      <c r="AR647" s="109"/>
      <c r="AS647" s="109"/>
      <c r="AT647" s="109"/>
      <c r="AU647" s="109"/>
    </row>
    <row r="648" spans="1:47" ht="14.25" customHeight="1" x14ac:dyDescent="0.3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  <c r="AL648" s="109"/>
      <c r="AM648" s="109"/>
      <c r="AN648" s="109"/>
      <c r="AO648" s="109"/>
      <c r="AP648" s="109"/>
      <c r="AQ648" s="109"/>
      <c r="AR648" s="109"/>
      <c r="AS648" s="109"/>
      <c r="AT648" s="109"/>
      <c r="AU648" s="109"/>
    </row>
    <row r="649" spans="1:47" ht="14.25" customHeight="1" x14ac:dyDescent="0.3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/>
      <c r="AM649" s="109"/>
      <c r="AN649" s="109"/>
      <c r="AO649" s="109"/>
      <c r="AP649" s="109"/>
      <c r="AQ649" s="109"/>
      <c r="AR649" s="109"/>
      <c r="AS649" s="109"/>
      <c r="AT649" s="109"/>
      <c r="AU649" s="109"/>
    </row>
    <row r="650" spans="1:47" ht="14.25" customHeight="1" x14ac:dyDescent="0.3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  <c r="AO650" s="109"/>
      <c r="AP650" s="109"/>
      <c r="AQ650" s="109"/>
      <c r="AR650" s="109"/>
      <c r="AS650" s="109"/>
      <c r="AT650" s="109"/>
      <c r="AU650" s="109"/>
    </row>
    <row r="651" spans="1:47" ht="14.25" customHeight="1" x14ac:dyDescent="0.3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  <c r="AO651" s="109"/>
      <c r="AP651" s="109"/>
      <c r="AQ651" s="109"/>
      <c r="AR651" s="109"/>
      <c r="AS651" s="109"/>
      <c r="AT651" s="109"/>
      <c r="AU651" s="109"/>
    </row>
    <row r="652" spans="1:47" ht="14.25" customHeight="1" x14ac:dyDescent="0.3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  <c r="AO652" s="109"/>
      <c r="AP652" s="109"/>
      <c r="AQ652" s="109"/>
      <c r="AR652" s="109"/>
      <c r="AS652" s="109"/>
      <c r="AT652" s="109"/>
      <c r="AU652" s="109"/>
    </row>
    <row r="653" spans="1:47" ht="14.25" customHeight="1" x14ac:dyDescent="0.3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/>
      <c r="AM653" s="109"/>
      <c r="AN653" s="109"/>
      <c r="AO653" s="109"/>
      <c r="AP653" s="109"/>
      <c r="AQ653" s="109"/>
      <c r="AR653" s="109"/>
      <c r="AS653" s="109"/>
      <c r="AT653" s="109"/>
      <c r="AU653" s="109"/>
    </row>
    <row r="654" spans="1:47" ht="14.25" customHeight="1" x14ac:dyDescent="0.3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09"/>
      <c r="AM654" s="109"/>
      <c r="AN654" s="109"/>
      <c r="AO654" s="109"/>
      <c r="AP654" s="109"/>
      <c r="AQ654" s="109"/>
      <c r="AR654" s="109"/>
      <c r="AS654" s="109"/>
      <c r="AT654" s="109"/>
      <c r="AU654" s="109"/>
    </row>
    <row r="655" spans="1:47" ht="14.25" customHeight="1" x14ac:dyDescent="0.3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  <c r="AL655" s="109"/>
      <c r="AM655" s="109"/>
      <c r="AN655" s="109"/>
      <c r="AO655" s="109"/>
      <c r="AP655" s="109"/>
      <c r="AQ655" s="109"/>
      <c r="AR655" s="109"/>
      <c r="AS655" s="109"/>
      <c r="AT655" s="109"/>
      <c r="AU655" s="109"/>
    </row>
    <row r="656" spans="1:47" ht="14.25" customHeight="1" x14ac:dyDescent="0.3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/>
      <c r="AM656" s="109"/>
      <c r="AN656" s="109"/>
      <c r="AO656" s="109"/>
      <c r="AP656" s="109"/>
      <c r="AQ656" s="109"/>
      <c r="AR656" s="109"/>
      <c r="AS656" s="109"/>
      <c r="AT656" s="109"/>
      <c r="AU656" s="109"/>
    </row>
    <row r="657" spans="1:47" ht="14.25" customHeight="1" x14ac:dyDescent="0.3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  <c r="AO657" s="109"/>
      <c r="AP657" s="109"/>
      <c r="AQ657" s="109"/>
      <c r="AR657" s="109"/>
      <c r="AS657" s="109"/>
      <c r="AT657" s="109"/>
      <c r="AU657" s="109"/>
    </row>
    <row r="658" spans="1:47" ht="14.25" customHeight="1" x14ac:dyDescent="0.3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  <c r="AL658" s="109"/>
      <c r="AM658" s="109"/>
      <c r="AN658" s="109"/>
      <c r="AO658" s="109"/>
      <c r="AP658" s="109"/>
      <c r="AQ658" s="109"/>
      <c r="AR658" s="109"/>
      <c r="AS658" s="109"/>
      <c r="AT658" s="109"/>
      <c r="AU658" s="109"/>
    </row>
    <row r="659" spans="1:47" ht="14.25" customHeight="1" x14ac:dyDescent="0.3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  <c r="AO659" s="109"/>
      <c r="AP659" s="109"/>
      <c r="AQ659" s="109"/>
      <c r="AR659" s="109"/>
      <c r="AS659" s="109"/>
      <c r="AT659" s="109"/>
      <c r="AU659" s="109"/>
    </row>
    <row r="660" spans="1:47" ht="14.25" customHeight="1" x14ac:dyDescent="0.3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  <c r="AL660" s="109"/>
      <c r="AM660" s="109"/>
      <c r="AN660" s="109"/>
      <c r="AO660" s="109"/>
      <c r="AP660" s="109"/>
      <c r="AQ660" s="109"/>
      <c r="AR660" s="109"/>
      <c r="AS660" s="109"/>
      <c r="AT660" s="109"/>
      <c r="AU660" s="109"/>
    </row>
    <row r="661" spans="1:47" ht="14.25" customHeight="1" x14ac:dyDescent="0.3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  <c r="AL661" s="109"/>
      <c r="AM661" s="109"/>
      <c r="AN661" s="109"/>
      <c r="AO661" s="109"/>
      <c r="AP661" s="109"/>
      <c r="AQ661" s="109"/>
      <c r="AR661" s="109"/>
      <c r="AS661" s="109"/>
      <c r="AT661" s="109"/>
      <c r="AU661" s="109"/>
    </row>
    <row r="662" spans="1:47" ht="14.25" customHeight="1" x14ac:dyDescent="0.3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  <c r="AO662" s="109"/>
      <c r="AP662" s="109"/>
      <c r="AQ662" s="109"/>
      <c r="AR662" s="109"/>
      <c r="AS662" s="109"/>
      <c r="AT662" s="109"/>
      <c r="AU662" s="109"/>
    </row>
    <row r="663" spans="1:47" ht="14.25" customHeight="1" x14ac:dyDescent="0.3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  <c r="AO663" s="109"/>
      <c r="AP663" s="109"/>
      <c r="AQ663" s="109"/>
      <c r="AR663" s="109"/>
      <c r="AS663" s="109"/>
      <c r="AT663" s="109"/>
      <c r="AU663" s="109"/>
    </row>
    <row r="664" spans="1:47" ht="14.25" customHeight="1" x14ac:dyDescent="0.3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  <c r="AO664" s="109"/>
      <c r="AP664" s="109"/>
      <c r="AQ664" s="109"/>
      <c r="AR664" s="109"/>
      <c r="AS664" s="109"/>
      <c r="AT664" s="109"/>
      <c r="AU664" s="109"/>
    </row>
    <row r="665" spans="1:47" ht="14.25" customHeight="1" x14ac:dyDescent="0.3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/>
      <c r="AM665" s="109"/>
      <c r="AN665" s="109"/>
      <c r="AO665" s="109"/>
      <c r="AP665" s="109"/>
      <c r="AQ665" s="109"/>
      <c r="AR665" s="109"/>
      <c r="AS665" s="109"/>
      <c r="AT665" s="109"/>
      <c r="AU665" s="109"/>
    </row>
    <row r="666" spans="1:47" ht="14.25" customHeight="1" x14ac:dyDescent="0.3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  <c r="AO666" s="109"/>
      <c r="AP666" s="109"/>
      <c r="AQ666" s="109"/>
      <c r="AR666" s="109"/>
      <c r="AS666" s="109"/>
      <c r="AT666" s="109"/>
      <c r="AU666" s="109"/>
    </row>
    <row r="667" spans="1:47" ht="14.25" customHeight="1" x14ac:dyDescent="0.3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  <c r="AO667" s="109"/>
      <c r="AP667" s="109"/>
      <c r="AQ667" s="109"/>
      <c r="AR667" s="109"/>
      <c r="AS667" s="109"/>
      <c r="AT667" s="109"/>
      <c r="AU667" s="109"/>
    </row>
    <row r="668" spans="1:47" ht="14.25" customHeight="1" x14ac:dyDescent="0.3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  <c r="AO668" s="109"/>
      <c r="AP668" s="109"/>
      <c r="AQ668" s="109"/>
      <c r="AR668" s="109"/>
      <c r="AS668" s="109"/>
      <c r="AT668" s="109"/>
      <c r="AU668" s="109"/>
    </row>
    <row r="669" spans="1:47" ht="14.25" customHeight="1" x14ac:dyDescent="0.3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  <c r="AO669" s="109"/>
      <c r="AP669" s="109"/>
      <c r="AQ669" s="109"/>
      <c r="AR669" s="109"/>
      <c r="AS669" s="109"/>
      <c r="AT669" s="109"/>
      <c r="AU669" s="109"/>
    </row>
    <row r="670" spans="1:47" ht="14.25" customHeight="1" x14ac:dyDescent="0.3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/>
      <c r="AM670" s="109"/>
      <c r="AN670" s="109"/>
      <c r="AO670" s="109"/>
      <c r="AP670" s="109"/>
      <c r="AQ670" s="109"/>
      <c r="AR670" s="109"/>
      <c r="AS670" s="109"/>
      <c r="AT670" s="109"/>
      <c r="AU670" s="109"/>
    </row>
    <row r="671" spans="1:47" ht="14.25" customHeight="1" x14ac:dyDescent="0.3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  <c r="AL671" s="109"/>
      <c r="AM671" s="109"/>
      <c r="AN671" s="109"/>
      <c r="AO671" s="109"/>
      <c r="AP671" s="109"/>
      <c r="AQ671" s="109"/>
      <c r="AR671" s="109"/>
      <c r="AS671" s="109"/>
      <c r="AT671" s="109"/>
      <c r="AU671" s="109"/>
    </row>
    <row r="672" spans="1:47" ht="14.25" customHeight="1" x14ac:dyDescent="0.3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/>
      <c r="AM672" s="109"/>
      <c r="AN672" s="109"/>
      <c r="AO672" s="109"/>
      <c r="AP672" s="109"/>
      <c r="AQ672" s="109"/>
      <c r="AR672" s="109"/>
      <c r="AS672" s="109"/>
      <c r="AT672" s="109"/>
      <c r="AU672" s="109"/>
    </row>
    <row r="673" spans="1:47" ht="14.25" customHeight="1" x14ac:dyDescent="0.3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/>
      <c r="AM673" s="109"/>
      <c r="AN673" s="109"/>
      <c r="AO673" s="109"/>
      <c r="AP673" s="109"/>
      <c r="AQ673" s="109"/>
      <c r="AR673" s="109"/>
      <c r="AS673" s="109"/>
      <c r="AT673" s="109"/>
      <c r="AU673" s="109"/>
    </row>
    <row r="674" spans="1:47" ht="14.25" customHeight="1" x14ac:dyDescent="0.3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  <c r="AO674" s="109"/>
      <c r="AP674" s="109"/>
      <c r="AQ674" s="109"/>
      <c r="AR674" s="109"/>
      <c r="AS674" s="109"/>
      <c r="AT674" s="109"/>
      <c r="AU674" s="109"/>
    </row>
    <row r="675" spans="1:47" ht="14.25" customHeight="1" x14ac:dyDescent="0.3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/>
      <c r="AM675" s="109"/>
      <c r="AN675" s="109"/>
      <c r="AO675" s="109"/>
      <c r="AP675" s="109"/>
      <c r="AQ675" s="109"/>
      <c r="AR675" s="109"/>
      <c r="AS675" s="109"/>
      <c r="AT675" s="109"/>
      <c r="AU675" s="109"/>
    </row>
    <row r="676" spans="1:47" ht="14.25" customHeight="1" x14ac:dyDescent="0.3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/>
      <c r="AM676" s="109"/>
      <c r="AN676" s="109"/>
      <c r="AO676" s="109"/>
      <c r="AP676" s="109"/>
      <c r="AQ676" s="109"/>
      <c r="AR676" s="109"/>
      <c r="AS676" s="109"/>
      <c r="AT676" s="109"/>
      <c r="AU676" s="109"/>
    </row>
    <row r="677" spans="1:47" ht="14.25" customHeight="1" x14ac:dyDescent="0.3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/>
      <c r="AM677" s="109"/>
      <c r="AN677" s="109"/>
      <c r="AO677" s="109"/>
      <c r="AP677" s="109"/>
      <c r="AQ677" s="109"/>
      <c r="AR677" s="109"/>
      <c r="AS677" s="109"/>
      <c r="AT677" s="109"/>
      <c r="AU677" s="109"/>
    </row>
    <row r="678" spans="1:47" ht="14.25" customHeight="1" x14ac:dyDescent="0.3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  <c r="AO678" s="109"/>
      <c r="AP678" s="109"/>
      <c r="AQ678" s="109"/>
      <c r="AR678" s="109"/>
      <c r="AS678" s="109"/>
      <c r="AT678" s="109"/>
      <c r="AU678" s="109"/>
    </row>
    <row r="679" spans="1:47" ht="14.25" customHeight="1" x14ac:dyDescent="0.3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  <c r="AO679" s="109"/>
      <c r="AP679" s="109"/>
      <c r="AQ679" s="109"/>
      <c r="AR679" s="109"/>
      <c r="AS679" s="109"/>
      <c r="AT679" s="109"/>
      <c r="AU679" s="109"/>
    </row>
    <row r="680" spans="1:47" ht="14.25" customHeight="1" x14ac:dyDescent="0.3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  <c r="AO680" s="109"/>
      <c r="AP680" s="109"/>
      <c r="AQ680" s="109"/>
      <c r="AR680" s="109"/>
      <c r="AS680" s="109"/>
      <c r="AT680" s="109"/>
      <c r="AU680" s="109"/>
    </row>
    <row r="681" spans="1:47" ht="14.25" customHeight="1" x14ac:dyDescent="0.3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  <c r="AO681" s="109"/>
      <c r="AP681" s="109"/>
      <c r="AQ681" s="109"/>
      <c r="AR681" s="109"/>
      <c r="AS681" s="109"/>
      <c r="AT681" s="109"/>
      <c r="AU681" s="109"/>
    </row>
    <row r="682" spans="1:47" ht="14.25" customHeight="1" x14ac:dyDescent="0.3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  <c r="AL682" s="109"/>
      <c r="AM682" s="109"/>
      <c r="AN682" s="109"/>
      <c r="AO682" s="109"/>
      <c r="AP682" s="109"/>
      <c r="AQ682" s="109"/>
      <c r="AR682" s="109"/>
      <c r="AS682" s="109"/>
      <c r="AT682" s="109"/>
      <c r="AU682" s="109"/>
    </row>
    <row r="683" spans="1:47" ht="14.25" customHeight="1" x14ac:dyDescent="0.3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  <c r="AL683" s="109"/>
      <c r="AM683" s="109"/>
      <c r="AN683" s="109"/>
      <c r="AO683" s="109"/>
      <c r="AP683" s="109"/>
      <c r="AQ683" s="109"/>
      <c r="AR683" s="109"/>
      <c r="AS683" s="109"/>
      <c r="AT683" s="109"/>
      <c r="AU683" s="109"/>
    </row>
    <row r="684" spans="1:47" ht="14.25" customHeight="1" x14ac:dyDescent="0.3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  <c r="AL684" s="109"/>
      <c r="AM684" s="109"/>
      <c r="AN684" s="109"/>
      <c r="AO684" s="109"/>
      <c r="AP684" s="109"/>
      <c r="AQ684" s="109"/>
      <c r="AR684" s="109"/>
      <c r="AS684" s="109"/>
      <c r="AT684" s="109"/>
      <c r="AU684" s="109"/>
    </row>
    <row r="685" spans="1:47" ht="14.25" customHeight="1" x14ac:dyDescent="0.3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  <c r="AL685" s="109"/>
      <c r="AM685" s="109"/>
      <c r="AN685" s="109"/>
      <c r="AO685" s="109"/>
      <c r="AP685" s="109"/>
      <c r="AQ685" s="109"/>
      <c r="AR685" s="109"/>
      <c r="AS685" s="109"/>
      <c r="AT685" s="109"/>
      <c r="AU685" s="109"/>
    </row>
    <row r="686" spans="1:47" ht="14.25" customHeight="1" x14ac:dyDescent="0.3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  <c r="AL686" s="109"/>
      <c r="AM686" s="109"/>
      <c r="AN686" s="109"/>
      <c r="AO686" s="109"/>
      <c r="AP686" s="109"/>
      <c r="AQ686" s="109"/>
      <c r="AR686" s="109"/>
      <c r="AS686" s="109"/>
      <c r="AT686" s="109"/>
      <c r="AU686" s="109"/>
    </row>
    <row r="687" spans="1:47" ht="14.25" customHeight="1" x14ac:dyDescent="0.3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  <c r="AL687" s="109"/>
      <c r="AM687" s="109"/>
      <c r="AN687" s="109"/>
      <c r="AO687" s="109"/>
      <c r="AP687" s="109"/>
      <c r="AQ687" s="109"/>
      <c r="AR687" s="109"/>
      <c r="AS687" s="109"/>
      <c r="AT687" s="109"/>
      <c r="AU687" s="109"/>
    </row>
    <row r="688" spans="1:47" ht="14.25" customHeight="1" x14ac:dyDescent="0.3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  <c r="AL688" s="109"/>
      <c r="AM688" s="109"/>
      <c r="AN688" s="109"/>
      <c r="AO688" s="109"/>
      <c r="AP688" s="109"/>
      <c r="AQ688" s="109"/>
      <c r="AR688" s="109"/>
      <c r="AS688" s="109"/>
      <c r="AT688" s="109"/>
      <c r="AU688" s="109"/>
    </row>
    <row r="689" spans="1:47" ht="14.25" customHeight="1" x14ac:dyDescent="0.3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  <c r="AD689" s="109"/>
      <c r="AE689" s="109"/>
      <c r="AF689" s="109"/>
      <c r="AG689" s="109"/>
      <c r="AH689" s="109"/>
      <c r="AI689" s="109"/>
      <c r="AJ689" s="109"/>
      <c r="AK689" s="109"/>
      <c r="AL689" s="109"/>
      <c r="AM689" s="109"/>
      <c r="AN689" s="109"/>
      <c r="AO689" s="109"/>
      <c r="AP689" s="109"/>
      <c r="AQ689" s="109"/>
      <c r="AR689" s="109"/>
      <c r="AS689" s="109"/>
      <c r="AT689" s="109"/>
      <c r="AU689" s="109"/>
    </row>
    <row r="690" spans="1:47" ht="14.25" customHeight="1" x14ac:dyDescent="0.3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  <c r="AL690" s="109"/>
      <c r="AM690" s="109"/>
      <c r="AN690" s="109"/>
      <c r="AO690" s="109"/>
      <c r="AP690" s="109"/>
      <c r="AQ690" s="109"/>
      <c r="AR690" s="109"/>
      <c r="AS690" s="109"/>
      <c r="AT690" s="109"/>
      <c r="AU690" s="109"/>
    </row>
    <row r="691" spans="1:47" ht="14.25" customHeight="1" x14ac:dyDescent="0.3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  <c r="AL691" s="109"/>
      <c r="AM691" s="109"/>
      <c r="AN691" s="109"/>
      <c r="AO691" s="109"/>
      <c r="AP691" s="109"/>
      <c r="AQ691" s="109"/>
      <c r="AR691" s="109"/>
      <c r="AS691" s="109"/>
      <c r="AT691" s="109"/>
      <c r="AU691" s="109"/>
    </row>
    <row r="692" spans="1:47" ht="14.25" customHeight="1" x14ac:dyDescent="0.3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/>
      <c r="AM692" s="109"/>
      <c r="AN692" s="109"/>
      <c r="AO692" s="109"/>
      <c r="AP692" s="109"/>
      <c r="AQ692" s="109"/>
      <c r="AR692" s="109"/>
      <c r="AS692" s="109"/>
      <c r="AT692" s="109"/>
      <c r="AU692" s="109"/>
    </row>
    <row r="693" spans="1:47" ht="14.25" customHeight="1" x14ac:dyDescent="0.3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  <c r="AO693" s="109"/>
      <c r="AP693" s="109"/>
      <c r="AQ693" s="109"/>
      <c r="AR693" s="109"/>
      <c r="AS693" s="109"/>
      <c r="AT693" s="109"/>
      <c r="AU693" s="109"/>
    </row>
    <row r="694" spans="1:47" ht="14.25" customHeight="1" x14ac:dyDescent="0.3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  <c r="AL694" s="109"/>
      <c r="AM694" s="109"/>
      <c r="AN694" s="109"/>
      <c r="AO694" s="109"/>
      <c r="AP694" s="109"/>
      <c r="AQ694" s="109"/>
      <c r="AR694" s="109"/>
      <c r="AS694" s="109"/>
      <c r="AT694" s="109"/>
      <c r="AU694" s="109"/>
    </row>
    <row r="695" spans="1:47" ht="14.25" customHeight="1" x14ac:dyDescent="0.3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  <c r="AL695" s="109"/>
      <c r="AM695" s="109"/>
      <c r="AN695" s="109"/>
      <c r="AO695" s="109"/>
      <c r="AP695" s="109"/>
      <c r="AQ695" s="109"/>
      <c r="AR695" s="109"/>
      <c r="AS695" s="109"/>
      <c r="AT695" s="109"/>
      <c r="AU695" s="109"/>
    </row>
    <row r="696" spans="1:47" ht="14.25" customHeight="1" x14ac:dyDescent="0.3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  <c r="AL696" s="109"/>
      <c r="AM696" s="109"/>
      <c r="AN696" s="109"/>
      <c r="AO696" s="109"/>
      <c r="AP696" s="109"/>
      <c r="AQ696" s="109"/>
      <c r="AR696" s="109"/>
      <c r="AS696" s="109"/>
      <c r="AT696" s="109"/>
      <c r="AU696" s="109"/>
    </row>
    <row r="697" spans="1:47" ht="14.25" customHeight="1" x14ac:dyDescent="0.3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  <c r="AL697" s="109"/>
      <c r="AM697" s="109"/>
      <c r="AN697" s="109"/>
      <c r="AO697" s="109"/>
      <c r="AP697" s="109"/>
      <c r="AQ697" s="109"/>
      <c r="AR697" s="109"/>
      <c r="AS697" s="109"/>
      <c r="AT697" s="109"/>
      <c r="AU697" s="109"/>
    </row>
    <row r="698" spans="1:47" ht="14.25" customHeight="1" x14ac:dyDescent="0.3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  <c r="AD698" s="109"/>
      <c r="AE698" s="109"/>
      <c r="AF698" s="109"/>
      <c r="AG698" s="109"/>
      <c r="AH698" s="109"/>
      <c r="AI698" s="109"/>
      <c r="AJ698" s="109"/>
      <c r="AK698" s="109"/>
      <c r="AL698" s="109"/>
      <c r="AM698" s="109"/>
      <c r="AN698" s="109"/>
      <c r="AO698" s="109"/>
      <c r="AP698" s="109"/>
      <c r="AQ698" s="109"/>
      <c r="AR698" s="109"/>
      <c r="AS698" s="109"/>
      <c r="AT698" s="109"/>
      <c r="AU698" s="109"/>
    </row>
    <row r="699" spans="1:47" ht="14.25" customHeight="1" x14ac:dyDescent="0.3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  <c r="AL699" s="109"/>
      <c r="AM699" s="109"/>
      <c r="AN699" s="109"/>
      <c r="AO699" s="109"/>
      <c r="AP699" s="109"/>
      <c r="AQ699" s="109"/>
      <c r="AR699" s="109"/>
      <c r="AS699" s="109"/>
      <c r="AT699" s="109"/>
      <c r="AU699" s="109"/>
    </row>
    <row r="700" spans="1:47" ht="14.25" customHeight="1" x14ac:dyDescent="0.3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  <c r="AD700" s="109"/>
      <c r="AE700" s="109"/>
      <c r="AF700" s="109"/>
      <c r="AG700" s="109"/>
      <c r="AH700" s="109"/>
      <c r="AI700" s="109"/>
      <c r="AJ700" s="109"/>
      <c r="AK700" s="109"/>
      <c r="AL700" s="109"/>
      <c r="AM700" s="109"/>
      <c r="AN700" s="109"/>
      <c r="AO700" s="109"/>
      <c r="AP700" s="109"/>
      <c r="AQ700" s="109"/>
      <c r="AR700" s="109"/>
      <c r="AS700" s="109"/>
      <c r="AT700" s="109"/>
      <c r="AU700" s="109"/>
    </row>
    <row r="701" spans="1:47" ht="14.25" customHeight="1" x14ac:dyDescent="0.3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109"/>
      <c r="AK701" s="109"/>
      <c r="AL701" s="109"/>
      <c r="AM701" s="109"/>
      <c r="AN701" s="109"/>
      <c r="AO701" s="109"/>
      <c r="AP701" s="109"/>
      <c r="AQ701" s="109"/>
      <c r="AR701" s="109"/>
      <c r="AS701" s="109"/>
      <c r="AT701" s="109"/>
      <c r="AU701" s="109"/>
    </row>
    <row r="702" spans="1:47" ht="14.25" customHeight="1" x14ac:dyDescent="0.3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  <c r="AD702" s="109"/>
      <c r="AE702" s="109"/>
      <c r="AF702" s="109"/>
      <c r="AG702" s="109"/>
      <c r="AH702" s="109"/>
      <c r="AI702" s="109"/>
      <c r="AJ702" s="109"/>
      <c r="AK702" s="109"/>
      <c r="AL702" s="109"/>
      <c r="AM702" s="109"/>
      <c r="AN702" s="109"/>
      <c r="AO702" s="109"/>
      <c r="AP702" s="109"/>
      <c r="AQ702" s="109"/>
      <c r="AR702" s="109"/>
      <c r="AS702" s="109"/>
      <c r="AT702" s="109"/>
      <c r="AU702" s="109"/>
    </row>
    <row r="703" spans="1:47" ht="14.25" customHeight="1" x14ac:dyDescent="0.3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  <c r="AD703" s="109"/>
      <c r="AE703" s="109"/>
      <c r="AF703" s="109"/>
      <c r="AG703" s="109"/>
      <c r="AH703" s="109"/>
      <c r="AI703" s="109"/>
      <c r="AJ703" s="109"/>
      <c r="AK703" s="109"/>
      <c r="AL703" s="109"/>
      <c r="AM703" s="109"/>
      <c r="AN703" s="109"/>
      <c r="AO703" s="109"/>
      <c r="AP703" s="109"/>
      <c r="AQ703" s="109"/>
      <c r="AR703" s="109"/>
      <c r="AS703" s="109"/>
      <c r="AT703" s="109"/>
      <c r="AU703" s="109"/>
    </row>
    <row r="704" spans="1:47" ht="14.25" customHeight="1" x14ac:dyDescent="0.3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  <c r="AL704" s="109"/>
      <c r="AM704" s="109"/>
      <c r="AN704" s="109"/>
      <c r="AO704" s="109"/>
      <c r="AP704" s="109"/>
      <c r="AQ704" s="109"/>
      <c r="AR704" s="109"/>
      <c r="AS704" s="109"/>
      <c r="AT704" s="109"/>
      <c r="AU704" s="109"/>
    </row>
    <row r="705" spans="1:47" ht="14.25" customHeight="1" x14ac:dyDescent="0.3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  <c r="AL705" s="109"/>
      <c r="AM705" s="109"/>
      <c r="AN705" s="109"/>
      <c r="AO705" s="109"/>
      <c r="AP705" s="109"/>
      <c r="AQ705" s="109"/>
      <c r="AR705" s="109"/>
      <c r="AS705" s="109"/>
      <c r="AT705" s="109"/>
      <c r="AU705" s="109"/>
    </row>
    <row r="706" spans="1:47" ht="14.25" customHeight="1" x14ac:dyDescent="0.3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09"/>
      <c r="AJ706" s="109"/>
      <c r="AK706" s="109"/>
      <c r="AL706" s="109"/>
      <c r="AM706" s="109"/>
      <c r="AN706" s="109"/>
      <c r="AO706" s="109"/>
      <c r="AP706" s="109"/>
      <c r="AQ706" s="109"/>
      <c r="AR706" s="109"/>
      <c r="AS706" s="109"/>
      <c r="AT706" s="109"/>
      <c r="AU706" s="109"/>
    </row>
    <row r="707" spans="1:47" ht="14.25" customHeight="1" x14ac:dyDescent="0.3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  <c r="AD707" s="109"/>
      <c r="AE707" s="109"/>
      <c r="AF707" s="109"/>
      <c r="AG707" s="109"/>
      <c r="AH707" s="109"/>
      <c r="AI707" s="109"/>
      <c r="AJ707" s="109"/>
      <c r="AK707" s="109"/>
      <c r="AL707" s="109"/>
      <c r="AM707" s="109"/>
      <c r="AN707" s="109"/>
      <c r="AO707" s="109"/>
      <c r="AP707" s="109"/>
      <c r="AQ707" s="109"/>
      <c r="AR707" s="109"/>
      <c r="AS707" s="109"/>
      <c r="AT707" s="109"/>
      <c r="AU707" s="109"/>
    </row>
    <row r="708" spans="1:47" ht="14.25" customHeight="1" x14ac:dyDescent="0.3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  <c r="AD708" s="109"/>
      <c r="AE708" s="109"/>
      <c r="AF708" s="109"/>
      <c r="AG708" s="109"/>
      <c r="AH708" s="109"/>
      <c r="AI708" s="109"/>
      <c r="AJ708" s="109"/>
      <c r="AK708" s="109"/>
      <c r="AL708" s="109"/>
      <c r="AM708" s="109"/>
      <c r="AN708" s="109"/>
      <c r="AO708" s="109"/>
      <c r="AP708" s="109"/>
      <c r="AQ708" s="109"/>
      <c r="AR708" s="109"/>
      <c r="AS708" s="109"/>
      <c r="AT708" s="109"/>
      <c r="AU708" s="109"/>
    </row>
    <row r="709" spans="1:47" ht="14.25" customHeight="1" x14ac:dyDescent="0.3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  <c r="AD709" s="109"/>
      <c r="AE709" s="109"/>
      <c r="AF709" s="109"/>
      <c r="AG709" s="109"/>
      <c r="AH709" s="109"/>
      <c r="AI709" s="109"/>
      <c r="AJ709" s="109"/>
      <c r="AK709" s="109"/>
      <c r="AL709" s="109"/>
      <c r="AM709" s="109"/>
      <c r="AN709" s="109"/>
      <c r="AO709" s="109"/>
      <c r="AP709" s="109"/>
      <c r="AQ709" s="109"/>
      <c r="AR709" s="109"/>
      <c r="AS709" s="109"/>
      <c r="AT709" s="109"/>
      <c r="AU709" s="109"/>
    </row>
    <row r="710" spans="1:47" ht="14.25" customHeight="1" x14ac:dyDescent="0.3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  <c r="AD710" s="109"/>
      <c r="AE710" s="109"/>
      <c r="AF710" s="109"/>
      <c r="AG710" s="109"/>
      <c r="AH710" s="109"/>
      <c r="AI710" s="109"/>
      <c r="AJ710" s="109"/>
      <c r="AK710" s="109"/>
      <c r="AL710" s="109"/>
      <c r="AM710" s="109"/>
      <c r="AN710" s="109"/>
      <c r="AO710" s="109"/>
      <c r="AP710" s="109"/>
      <c r="AQ710" s="109"/>
      <c r="AR710" s="109"/>
      <c r="AS710" s="109"/>
      <c r="AT710" s="109"/>
      <c r="AU710" s="109"/>
    </row>
    <row r="711" spans="1:47" ht="14.25" customHeight="1" x14ac:dyDescent="0.3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  <c r="AD711" s="109"/>
      <c r="AE711" s="109"/>
      <c r="AF711" s="109"/>
      <c r="AG711" s="109"/>
      <c r="AH711" s="109"/>
      <c r="AI711" s="109"/>
      <c r="AJ711" s="109"/>
      <c r="AK711" s="109"/>
      <c r="AL711" s="109"/>
      <c r="AM711" s="109"/>
      <c r="AN711" s="109"/>
      <c r="AO711" s="109"/>
      <c r="AP711" s="109"/>
      <c r="AQ711" s="109"/>
      <c r="AR711" s="109"/>
      <c r="AS711" s="109"/>
      <c r="AT711" s="109"/>
      <c r="AU711" s="109"/>
    </row>
    <row r="712" spans="1:47" ht="14.25" customHeight="1" x14ac:dyDescent="0.3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  <c r="AL712" s="109"/>
      <c r="AM712" s="109"/>
      <c r="AN712" s="109"/>
      <c r="AO712" s="109"/>
      <c r="AP712" s="109"/>
      <c r="AQ712" s="109"/>
      <c r="AR712" s="109"/>
      <c r="AS712" s="109"/>
      <c r="AT712" s="109"/>
      <c r="AU712" s="109"/>
    </row>
    <row r="713" spans="1:47" ht="14.25" customHeight="1" x14ac:dyDescent="0.3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  <c r="AL713" s="109"/>
      <c r="AM713" s="109"/>
      <c r="AN713" s="109"/>
      <c r="AO713" s="109"/>
      <c r="AP713" s="109"/>
      <c r="AQ713" s="109"/>
      <c r="AR713" s="109"/>
      <c r="AS713" s="109"/>
      <c r="AT713" s="109"/>
      <c r="AU713" s="109"/>
    </row>
    <row r="714" spans="1:47" ht="14.25" customHeight="1" x14ac:dyDescent="0.3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  <c r="AL714" s="109"/>
      <c r="AM714" s="109"/>
      <c r="AN714" s="109"/>
      <c r="AO714" s="109"/>
      <c r="AP714" s="109"/>
      <c r="AQ714" s="109"/>
      <c r="AR714" s="109"/>
      <c r="AS714" s="109"/>
      <c r="AT714" s="109"/>
      <c r="AU714" s="109"/>
    </row>
    <row r="715" spans="1:47" ht="14.25" customHeight="1" x14ac:dyDescent="0.3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  <c r="AL715" s="109"/>
      <c r="AM715" s="109"/>
      <c r="AN715" s="109"/>
      <c r="AO715" s="109"/>
      <c r="AP715" s="109"/>
      <c r="AQ715" s="109"/>
      <c r="AR715" s="109"/>
      <c r="AS715" s="109"/>
      <c r="AT715" s="109"/>
      <c r="AU715" s="109"/>
    </row>
    <row r="716" spans="1:47" ht="14.25" customHeight="1" x14ac:dyDescent="0.3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  <c r="AL716" s="109"/>
      <c r="AM716" s="109"/>
      <c r="AN716" s="109"/>
      <c r="AO716" s="109"/>
      <c r="AP716" s="109"/>
      <c r="AQ716" s="109"/>
      <c r="AR716" s="109"/>
      <c r="AS716" s="109"/>
      <c r="AT716" s="109"/>
      <c r="AU716" s="109"/>
    </row>
    <row r="717" spans="1:47" ht="14.25" customHeight="1" x14ac:dyDescent="0.3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  <c r="AL717" s="109"/>
      <c r="AM717" s="109"/>
      <c r="AN717" s="109"/>
      <c r="AO717" s="109"/>
      <c r="AP717" s="109"/>
      <c r="AQ717" s="109"/>
      <c r="AR717" s="109"/>
      <c r="AS717" s="109"/>
      <c r="AT717" s="109"/>
      <c r="AU717" s="109"/>
    </row>
    <row r="718" spans="1:47" ht="14.25" customHeight="1" x14ac:dyDescent="0.3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  <c r="AD718" s="109"/>
      <c r="AE718" s="109"/>
      <c r="AF718" s="109"/>
      <c r="AG718" s="109"/>
      <c r="AH718" s="109"/>
      <c r="AI718" s="109"/>
      <c r="AJ718" s="109"/>
      <c r="AK718" s="109"/>
      <c r="AL718" s="109"/>
      <c r="AM718" s="109"/>
      <c r="AN718" s="109"/>
      <c r="AO718" s="109"/>
      <c r="AP718" s="109"/>
      <c r="AQ718" s="109"/>
      <c r="AR718" s="109"/>
      <c r="AS718" s="109"/>
      <c r="AT718" s="109"/>
      <c r="AU718" s="109"/>
    </row>
    <row r="719" spans="1:47" ht="14.25" customHeight="1" x14ac:dyDescent="0.3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09"/>
      <c r="AM719" s="109"/>
      <c r="AN719" s="109"/>
      <c r="AO719" s="109"/>
      <c r="AP719" s="109"/>
      <c r="AQ719" s="109"/>
      <c r="AR719" s="109"/>
      <c r="AS719" s="109"/>
      <c r="AT719" s="109"/>
      <c r="AU719" s="109"/>
    </row>
    <row r="720" spans="1:47" ht="14.25" customHeight="1" x14ac:dyDescent="0.3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  <c r="AD720" s="109"/>
      <c r="AE720" s="109"/>
      <c r="AF720" s="109"/>
      <c r="AG720" s="109"/>
      <c r="AH720" s="109"/>
      <c r="AI720" s="109"/>
      <c r="AJ720" s="109"/>
      <c r="AK720" s="109"/>
      <c r="AL720" s="109"/>
      <c r="AM720" s="109"/>
      <c r="AN720" s="109"/>
      <c r="AO720" s="109"/>
      <c r="AP720" s="109"/>
      <c r="AQ720" s="109"/>
      <c r="AR720" s="109"/>
      <c r="AS720" s="109"/>
      <c r="AT720" s="109"/>
      <c r="AU720" s="109"/>
    </row>
    <row r="721" spans="1:47" ht="14.25" customHeight="1" x14ac:dyDescent="0.3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  <c r="AD721" s="109"/>
      <c r="AE721" s="109"/>
      <c r="AF721" s="109"/>
      <c r="AG721" s="109"/>
      <c r="AH721" s="109"/>
      <c r="AI721" s="109"/>
      <c r="AJ721" s="109"/>
      <c r="AK721" s="109"/>
      <c r="AL721" s="109"/>
      <c r="AM721" s="109"/>
      <c r="AN721" s="109"/>
      <c r="AO721" s="109"/>
      <c r="AP721" s="109"/>
      <c r="AQ721" s="109"/>
      <c r="AR721" s="109"/>
      <c r="AS721" s="109"/>
      <c r="AT721" s="109"/>
      <c r="AU721" s="109"/>
    </row>
    <row r="722" spans="1:47" ht="14.25" customHeight="1" x14ac:dyDescent="0.3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  <c r="AL722" s="109"/>
      <c r="AM722" s="109"/>
      <c r="AN722" s="109"/>
      <c r="AO722" s="109"/>
      <c r="AP722" s="109"/>
      <c r="AQ722" s="109"/>
      <c r="AR722" s="109"/>
      <c r="AS722" s="109"/>
      <c r="AT722" s="109"/>
      <c r="AU722" s="109"/>
    </row>
    <row r="723" spans="1:47" ht="14.25" customHeight="1" x14ac:dyDescent="0.3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  <c r="AL723" s="109"/>
      <c r="AM723" s="109"/>
      <c r="AN723" s="109"/>
      <c r="AO723" s="109"/>
      <c r="AP723" s="109"/>
      <c r="AQ723" s="109"/>
      <c r="AR723" s="109"/>
      <c r="AS723" s="109"/>
      <c r="AT723" s="109"/>
      <c r="AU723" s="109"/>
    </row>
    <row r="724" spans="1:47" ht="14.25" customHeight="1" x14ac:dyDescent="0.3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  <c r="AL724" s="109"/>
      <c r="AM724" s="109"/>
      <c r="AN724" s="109"/>
      <c r="AO724" s="109"/>
      <c r="AP724" s="109"/>
      <c r="AQ724" s="109"/>
      <c r="AR724" s="109"/>
      <c r="AS724" s="109"/>
      <c r="AT724" s="109"/>
      <c r="AU724" s="109"/>
    </row>
    <row r="725" spans="1:47" ht="14.25" customHeight="1" x14ac:dyDescent="0.3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  <c r="AL725" s="109"/>
      <c r="AM725" s="109"/>
      <c r="AN725" s="109"/>
      <c r="AO725" s="109"/>
      <c r="AP725" s="109"/>
      <c r="AQ725" s="109"/>
      <c r="AR725" s="109"/>
      <c r="AS725" s="109"/>
      <c r="AT725" s="109"/>
      <c r="AU725" s="109"/>
    </row>
    <row r="726" spans="1:47" ht="14.25" customHeight="1" x14ac:dyDescent="0.3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  <c r="AL726" s="109"/>
      <c r="AM726" s="109"/>
      <c r="AN726" s="109"/>
      <c r="AO726" s="109"/>
      <c r="AP726" s="109"/>
      <c r="AQ726" s="109"/>
      <c r="AR726" s="109"/>
      <c r="AS726" s="109"/>
      <c r="AT726" s="109"/>
      <c r="AU726" s="109"/>
    </row>
    <row r="727" spans="1:47" ht="14.25" customHeight="1" x14ac:dyDescent="0.3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  <c r="AD727" s="109"/>
      <c r="AE727" s="109"/>
      <c r="AF727" s="109"/>
      <c r="AG727" s="109"/>
      <c r="AH727" s="109"/>
      <c r="AI727" s="109"/>
      <c r="AJ727" s="109"/>
      <c r="AK727" s="109"/>
      <c r="AL727" s="109"/>
      <c r="AM727" s="109"/>
      <c r="AN727" s="109"/>
      <c r="AO727" s="109"/>
      <c r="AP727" s="109"/>
      <c r="AQ727" s="109"/>
      <c r="AR727" s="109"/>
      <c r="AS727" s="109"/>
      <c r="AT727" s="109"/>
      <c r="AU727" s="109"/>
    </row>
    <row r="728" spans="1:47" ht="14.25" customHeight="1" x14ac:dyDescent="0.3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  <c r="AL728" s="109"/>
      <c r="AM728" s="109"/>
      <c r="AN728" s="109"/>
      <c r="AO728" s="109"/>
      <c r="AP728" s="109"/>
      <c r="AQ728" s="109"/>
      <c r="AR728" s="109"/>
      <c r="AS728" s="109"/>
      <c r="AT728" s="109"/>
      <c r="AU728" s="109"/>
    </row>
    <row r="729" spans="1:47" ht="14.25" customHeight="1" x14ac:dyDescent="0.3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  <c r="AL729" s="109"/>
      <c r="AM729" s="109"/>
      <c r="AN729" s="109"/>
      <c r="AO729" s="109"/>
      <c r="AP729" s="109"/>
      <c r="AQ729" s="109"/>
      <c r="AR729" s="109"/>
      <c r="AS729" s="109"/>
      <c r="AT729" s="109"/>
      <c r="AU729" s="109"/>
    </row>
    <row r="730" spans="1:47" ht="14.25" customHeight="1" x14ac:dyDescent="0.3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  <c r="AD730" s="109"/>
      <c r="AE730" s="109"/>
      <c r="AF730" s="109"/>
      <c r="AG730" s="109"/>
      <c r="AH730" s="109"/>
      <c r="AI730" s="109"/>
      <c r="AJ730" s="109"/>
      <c r="AK730" s="109"/>
      <c r="AL730" s="109"/>
      <c r="AM730" s="109"/>
      <c r="AN730" s="109"/>
      <c r="AO730" s="109"/>
      <c r="AP730" s="109"/>
      <c r="AQ730" s="109"/>
      <c r="AR730" s="109"/>
      <c r="AS730" s="109"/>
      <c r="AT730" s="109"/>
      <c r="AU730" s="109"/>
    </row>
    <row r="731" spans="1:47" ht="14.25" customHeight="1" x14ac:dyDescent="0.3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  <c r="AL731" s="109"/>
      <c r="AM731" s="109"/>
      <c r="AN731" s="109"/>
      <c r="AO731" s="109"/>
      <c r="AP731" s="109"/>
      <c r="AQ731" s="109"/>
      <c r="AR731" s="109"/>
      <c r="AS731" s="109"/>
      <c r="AT731" s="109"/>
      <c r="AU731" s="109"/>
    </row>
    <row r="732" spans="1:47" ht="14.25" customHeight="1" x14ac:dyDescent="0.3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  <c r="AD732" s="109"/>
      <c r="AE732" s="109"/>
      <c r="AF732" s="109"/>
      <c r="AG732" s="109"/>
      <c r="AH732" s="109"/>
      <c r="AI732" s="109"/>
      <c r="AJ732" s="109"/>
      <c r="AK732" s="109"/>
      <c r="AL732" s="109"/>
      <c r="AM732" s="109"/>
      <c r="AN732" s="109"/>
      <c r="AO732" s="109"/>
      <c r="AP732" s="109"/>
      <c r="AQ732" s="109"/>
      <c r="AR732" s="109"/>
      <c r="AS732" s="109"/>
      <c r="AT732" s="109"/>
      <c r="AU732" s="109"/>
    </row>
    <row r="733" spans="1:47" ht="14.25" customHeight="1" x14ac:dyDescent="0.3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  <c r="AL733" s="109"/>
      <c r="AM733" s="109"/>
      <c r="AN733" s="109"/>
      <c r="AO733" s="109"/>
      <c r="AP733" s="109"/>
      <c r="AQ733" s="109"/>
      <c r="AR733" s="109"/>
      <c r="AS733" s="109"/>
      <c r="AT733" s="109"/>
      <c r="AU733" s="109"/>
    </row>
    <row r="734" spans="1:47" ht="14.25" customHeight="1" x14ac:dyDescent="0.3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  <c r="AL734" s="109"/>
      <c r="AM734" s="109"/>
      <c r="AN734" s="109"/>
      <c r="AO734" s="109"/>
      <c r="AP734" s="109"/>
      <c r="AQ734" s="109"/>
      <c r="AR734" s="109"/>
      <c r="AS734" s="109"/>
      <c r="AT734" s="109"/>
      <c r="AU734" s="109"/>
    </row>
    <row r="735" spans="1:47" ht="14.25" customHeight="1" x14ac:dyDescent="0.3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  <c r="AD735" s="109"/>
      <c r="AE735" s="109"/>
      <c r="AF735" s="109"/>
      <c r="AG735" s="109"/>
      <c r="AH735" s="109"/>
      <c r="AI735" s="109"/>
      <c r="AJ735" s="109"/>
      <c r="AK735" s="109"/>
      <c r="AL735" s="109"/>
      <c r="AM735" s="109"/>
      <c r="AN735" s="109"/>
      <c r="AO735" s="109"/>
      <c r="AP735" s="109"/>
      <c r="AQ735" s="109"/>
      <c r="AR735" s="109"/>
      <c r="AS735" s="109"/>
      <c r="AT735" s="109"/>
      <c r="AU735" s="109"/>
    </row>
    <row r="736" spans="1:47" ht="14.25" customHeight="1" x14ac:dyDescent="0.3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  <c r="AL736" s="109"/>
      <c r="AM736" s="109"/>
      <c r="AN736" s="109"/>
      <c r="AO736" s="109"/>
      <c r="AP736" s="109"/>
      <c r="AQ736" s="109"/>
      <c r="AR736" s="109"/>
      <c r="AS736" s="109"/>
      <c r="AT736" s="109"/>
      <c r="AU736" s="109"/>
    </row>
    <row r="737" spans="1:47" ht="14.25" customHeight="1" x14ac:dyDescent="0.3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  <c r="AL737" s="109"/>
      <c r="AM737" s="109"/>
      <c r="AN737" s="109"/>
      <c r="AO737" s="109"/>
      <c r="AP737" s="109"/>
      <c r="AQ737" s="109"/>
      <c r="AR737" s="109"/>
      <c r="AS737" s="109"/>
      <c r="AT737" s="109"/>
      <c r="AU737" s="109"/>
    </row>
    <row r="738" spans="1:47" ht="14.25" customHeight="1" x14ac:dyDescent="0.3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  <c r="AL738" s="109"/>
      <c r="AM738" s="109"/>
      <c r="AN738" s="109"/>
      <c r="AO738" s="109"/>
      <c r="AP738" s="109"/>
      <c r="AQ738" s="109"/>
      <c r="AR738" s="109"/>
      <c r="AS738" s="109"/>
      <c r="AT738" s="109"/>
      <c r="AU738" s="109"/>
    </row>
    <row r="739" spans="1:47" ht="14.25" customHeight="1" x14ac:dyDescent="0.3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  <c r="AL739" s="109"/>
      <c r="AM739" s="109"/>
      <c r="AN739" s="109"/>
      <c r="AO739" s="109"/>
      <c r="AP739" s="109"/>
      <c r="AQ739" s="109"/>
      <c r="AR739" s="109"/>
      <c r="AS739" s="109"/>
      <c r="AT739" s="109"/>
      <c r="AU739" s="109"/>
    </row>
    <row r="740" spans="1:47" ht="14.25" customHeight="1" x14ac:dyDescent="0.3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  <c r="AL740" s="109"/>
      <c r="AM740" s="109"/>
      <c r="AN740" s="109"/>
      <c r="AO740" s="109"/>
      <c r="AP740" s="109"/>
      <c r="AQ740" s="109"/>
      <c r="AR740" s="109"/>
      <c r="AS740" s="109"/>
      <c r="AT740" s="109"/>
      <c r="AU740" s="109"/>
    </row>
    <row r="741" spans="1:47" ht="14.25" customHeight="1" x14ac:dyDescent="0.3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  <c r="AL741" s="109"/>
      <c r="AM741" s="109"/>
      <c r="AN741" s="109"/>
      <c r="AO741" s="109"/>
      <c r="AP741" s="109"/>
      <c r="AQ741" s="109"/>
      <c r="AR741" s="109"/>
      <c r="AS741" s="109"/>
      <c r="AT741" s="109"/>
      <c r="AU741" s="109"/>
    </row>
    <row r="742" spans="1:47" ht="14.25" customHeight="1" x14ac:dyDescent="0.3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  <c r="AL742" s="109"/>
      <c r="AM742" s="109"/>
      <c r="AN742" s="109"/>
      <c r="AO742" s="109"/>
      <c r="AP742" s="109"/>
      <c r="AQ742" s="109"/>
      <c r="AR742" s="109"/>
      <c r="AS742" s="109"/>
      <c r="AT742" s="109"/>
      <c r="AU742" s="109"/>
    </row>
    <row r="743" spans="1:47" ht="14.25" customHeight="1" x14ac:dyDescent="0.3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  <c r="AD743" s="109"/>
      <c r="AE743" s="109"/>
      <c r="AF743" s="109"/>
      <c r="AG743" s="109"/>
      <c r="AH743" s="109"/>
      <c r="AI743" s="109"/>
      <c r="AJ743" s="109"/>
      <c r="AK743" s="109"/>
      <c r="AL743" s="109"/>
      <c r="AM743" s="109"/>
      <c r="AN743" s="109"/>
      <c r="AO743" s="109"/>
      <c r="AP743" s="109"/>
      <c r="AQ743" s="109"/>
      <c r="AR743" s="109"/>
      <c r="AS743" s="109"/>
      <c r="AT743" s="109"/>
      <c r="AU743" s="109"/>
    </row>
    <row r="744" spans="1:47" ht="14.25" customHeight="1" x14ac:dyDescent="0.3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  <c r="AD744" s="109"/>
      <c r="AE744" s="109"/>
      <c r="AF744" s="109"/>
      <c r="AG744" s="109"/>
      <c r="AH744" s="109"/>
      <c r="AI744" s="109"/>
      <c r="AJ744" s="109"/>
      <c r="AK744" s="109"/>
      <c r="AL744" s="109"/>
      <c r="AM744" s="109"/>
      <c r="AN744" s="109"/>
      <c r="AO744" s="109"/>
      <c r="AP744" s="109"/>
      <c r="AQ744" s="109"/>
      <c r="AR744" s="109"/>
      <c r="AS744" s="109"/>
      <c r="AT744" s="109"/>
      <c r="AU744" s="109"/>
    </row>
    <row r="745" spans="1:47" ht="14.25" customHeight="1" x14ac:dyDescent="0.3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  <c r="AD745" s="109"/>
      <c r="AE745" s="109"/>
      <c r="AF745" s="109"/>
      <c r="AG745" s="109"/>
      <c r="AH745" s="109"/>
      <c r="AI745" s="109"/>
      <c r="AJ745" s="109"/>
      <c r="AK745" s="109"/>
      <c r="AL745" s="109"/>
      <c r="AM745" s="109"/>
      <c r="AN745" s="109"/>
      <c r="AO745" s="109"/>
      <c r="AP745" s="109"/>
      <c r="AQ745" s="109"/>
      <c r="AR745" s="109"/>
      <c r="AS745" s="109"/>
      <c r="AT745" s="109"/>
      <c r="AU745" s="109"/>
    </row>
    <row r="746" spans="1:47" ht="14.25" customHeight="1" x14ac:dyDescent="0.3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  <c r="AD746" s="109"/>
      <c r="AE746" s="109"/>
      <c r="AF746" s="109"/>
      <c r="AG746" s="109"/>
      <c r="AH746" s="109"/>
      <c r="AI746" s="109"/>
      <c r="AJ746" s="109"/>
      <c r="AK746" s="109"/>
      <c r="AL746" s="109"/>
      <c r="AM746" s="109"/>
      <c r="AN746" s="109"/>
      <c r="AO746" s="109"/>
      <c r="AP746" s="109"/>
      <c r="AQ746" s="109"/>
      <c r="AR746" s="109"/>
      <c r="AS746" s="109"/>
      <c r="AT746" s="109"/>
      <c r="AU746" s="109"/>
    </row>
    <row r="747" spans="1:47" ht="14.25" customHeight="1" x14ac:dyDescent="0.3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  <c r="AL747" s="109"/>
      <c r="AM747" s="109"/>
      <c r="AN747" s="109"/>
      <c r="AO747" s="109"/>
      <c r="AP747" s="109"/>
      <c r="AQ747" s="109"/>
      <c r="AR747" s="109"/>
      <c r="AS747" s="109"/>
      <c r="AT747" s="109"/>
      <c r="AU747" s="109"/>
    </row>
    <row r="748" spans="1:47" ht="14.25" customHeight="1" x14ac:dyDescent="0.3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  <c r="AD748" s="109"/>
      <c r="AE748" s="109"/>
      <c r="AF748" s="109"/>
      <c r="AG748" s="109"/>
      <c r="AH748" s="109"/>
      <c r="AI748" s="109"/>
      <c r="AJ748" s="109"/>
      <c r="AK748" s="109"/>
      <c r="AL748" s="109"/>
      <c r="AM748" s="109"/>
      <c r="AN748" s="109"/>
      <c r="AO748" s="109"/>
      <c r="AP748" s="109"/>
      <c r="AQ748" s="109"/>
      <c r="AR748" s="109"/>
      <c r="AS748" s="109"/>
      <c r="AT748" s="109"/>
      <c r="AU748" s="109"/>
    </row>
    <row r="749" spans="1:47" ht="14.25" customHeight="1" x14ac:dyDescent="0.3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  <c r="AD749" s="109"/>
      <c r="AE749" s="109"/>
      <c r="AF749" s="109"/>
      <c r="AG749" s="109"/>
      <c r="AH749" s="109"/>
      <c r="AI749" s="109"/>
      <c r="AJ749" s="109"/>
      <c r="AK749" s="109"/>
      <c r="AL749" s="109"/>
      <c r="AM749" s="109"/>
      <c r="AN749" s="109"/>
      <c r="AO749" s="109"/>
      <c r="AP749" s="109"/>
      <c r="AQ749" s="109"/>
      <c r="AR749" s="109"/>
      <c r="AS749" s="109"/>
      <c r="AT749" s="109"/>
      <c r="AU749" s="109"/>
    </row>
    <row r="750" spans="1:47" ht="14.25" customHeight="1" x14ac:dyDescent="0.3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  <c r="AD750" s="109"/>
      <c r="AE750" s="109"/>
      <c r="AF750" s="109"/>
      <c r="AG750" s="109"/>
      <c r="AH750" s="109"/>
      <c r="AI750" s="109"/>
      <c r="AJ750" s="109"/>
      <c r="AK750" s="109"/>
      <c r="AL750" s="109"/>
      <c r="AM750" s="109"/>
      <c r="AN750" s="109"/>
      <c r="AO750" s="109"/>
      <c r="AP750" s="109"/>
      <c r="AQ750" s="109"/>
      <c r="AR750" s="109"/>
      <c r="AS750" s="109"/>
      <c r="AT750" s="109"/>
      <c r="AU750" s="109"/>
    </row>
    <row r="751" spans="1:47" ht="14.25" customHeight="1" x14ac:dyDescent="0.3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  <c r="AD751" s="109"/>
      <c r="AE751" s="109"/>
      <c r="AF751" s="109"/>
      <c r="AG751" s="109"/>
      <c r="AH751" s="109"/>
      <c r="AI751" s="109"/>
      <c r="AJ751" s="109"/>
      <c r="AK751" s="109"/>
      <c r="AL751" s="109"/>
      <c r="AM751" s="109"/>
      <c r="AN751" s="109"/>
      <c r="AO751" s="109"/>
      <c r="AP751" s="109"/>
      <c r="AQ751" s="109"/>
      <c r="AR751" s="109"/>
      <c r="AS751" s="109"/>
      <c r="AT751" s="109"/>
      <c r="AU751" s="109"/>
    </row>
    <row r="752" spans="1:47" ht="14.25" customHeight="1" x14ac:dyDescent="0.3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09"/>
      <c r="AJ752" s="109"/>
      <c r="AK752" s="109"/>
      <c r="AL752" s="109"/>
      <c r="AM752" s="109"/>
      <c r="AN752" s="109"/>
      <c r="AO752" s="109"/>
      <c r="AP752" s="109"/>
      <c r="AQ752" s="109"/>
      <c r="AR752" s="109"/>
      <c r="AS752" s="109"/>
      <c r="AT752" s="109"/>
      <c r="AU752" s="109"/>
    </row>
    <row r="753" spans="1:47" ht="14.25" customHeight="1" x14ac:dyDescent="0.3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  <c r="AL753" s="109"/>
      <c r="AM753" s="109"/>
      <c r="AN753" s="109"/>
      <c r="AO753" s="109"/>
      <c r="AP753" s="109"/>
      <c r="AQ753" s="109"/>
      <c r="AR753" s="109"/>
      <c r="AS753" s="109"/>
      <c r="AT753" s="109"/>
      <c r="AU753" s="109"/>
    </row>
    <row r="754" spans="1:47" ht="14.25" customHeight="1" x14ac:dyDescent="0.3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  <c r="AD754" s="109"/>
      <c r="AE754" s="109"/>
      <c r="AF754" s="109"/>
      <c r="AG754" s="109"/>
      <c r="AH754" s="109"/>
      <c r="AI754" s="109"/>
      <c r="AJ754" s="109"/>
      <c r="AK754" s="109"/>
      <c r="AL754" s="109"/>
      <c r="AM754" s="109"/>
      <c r="AN754" s="109"/>
      <c r="AO754" s="109"/>
      <c r="AP754" s="109"/>
      <c r="AQ754" s="109"/>
      <c r="AR754" s="109"/>
      <c r="AS754" s="109"/>
      <c r="AT754" s="109"/>
      <c r="AU754" s="109"/>
    </row>
    <row r="755" spans="1:47" ht="14.25" customHeight="1" x14ac:dyDescent="0.3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  <c r="AL755" s="109"/>
      <c r="AM755" s="109"/>
      <c r="AN755" s="109"/>
      <c r="AO755" s="109"/>
      <c r="AP755" s="109"/>
      <c r="AQ755" s="109"/>
      <c r="AR755" s="109"/>
      <c r="AS755" s="109"/>
      <c r="AT755" s="109"/>
      <c r="AU755" s="109"/>
    </row>
    <row r="756" spans="1:47" ht="14.25" customHeight="1" x14ac:dyDescent="0.3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  <c r="AL756" s="109"/>
      <c r="AM756" s="109"/>
      <c r="AN756" s="109"/>
      <c r="AO756" s="109"/>
      <c r="AP756" s="109"/>
      <c r="AQ756" s="109"/>
      <c r="AR756" s="109"/>
      <c r="AS756" s="109"/>
      <c r="AT756" s="109"/>
      <c r="AU756" s="109"/>
    </row>
    <row r="757" spans="1:47" ht="14.25" customHeight="1" x14ac:dyDescent="0.3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09"/>
      <c r="AL757" s="109"/>
      <c r="AM757" s="109"/>
      <c r="AN757" s="109"/>
      <c r="AO757" s="109"/>
      <c r="AP757" s="109"/>
      <c r="AQ757" s="109"/>
      <c r="AR757" s="109"/>
      <c r="AS757" s="109"/>
      <c r="AT757" s="109"/>
      <c r="AU757" s="109"/>
    </row>
    <row r="758" spans="1:47" ht="14.25" customHeight="1" x14ac:dyDescent="0.3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  <c r="AD758" s="109"/>
      <c r="AE758" s="109"/>
      <c r="AF758" s="109"/>
      <c r="AG758" s="109"/>
      <c r="AH758" s="109"/>
      <c r="AI758" s="109"/>
      <c r="AJ758" s="109"/>
      <c r="AK758" s="109"/>
      <c r="AL758" s="109"/>
      <c r="AM758" s="109"/>
      <c r="AN758" s="109"/>
      <c r="AO758" s="109"/>
      <c r="AP758" s="109"/>
      <c r="AQ758" s="109"/>
      <c r="AR758" s="109"/>
      <c r="AS758" s="109"/>
      <c r="AT758" s="109"/>
      <c r="AU758" s="109"/>
    </row>
    <row r="759" spans="1:47" ht="14.25" customHeight="1" x14ac:dyDescent="0.3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  <c r="AD759" s="109"/>
      <c r="AE759" s="109"/>
      <c r="AF759" s="109"/>
      <c r="AG759" s="109"/>
      <c r="AH759" s="109"/>
      <c r="AI759" s="109"/>
      <c r="AJ759" s="109"/>
      <c r="AK759" s="109"/>
      <c r="AL759" s="109"/>
      <c r="AM759" s="109"/>
      <c r="AN759" s="109"/>
      <c r="AO759" s="109"/>
      <c r="AP759" s="109"/>
      <c r="AQ759" s="109"/>
      <c r="AR759" s="109"/>
      <c r="AS759" s="109"/>
      <c r="AT759" s="109"/>
      <c r="AU759" s="109"/>
    </row>
    <row r="760" spans="1:47" ht="14.25" customHeight="1" x14ac:dyDescent="0.3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  <c r="AD760" s="109"/>
      <c r="AE760" s="109"/>
      <c r="AF760" s="109"/>
      <c r="AG760" s="109"/>
      <c r="AH760" s="109"/>
      <c r="AI760" s="109"/>
      <c r="AJ760" s="109"/>
      <c r="AK760" s="109"/>
      <c r="AL760" s="109"/>
      <c r="AM760" s="109"/>
      <c r="AN760" s="109"/>
      <c r="AO760" s="109"/>
      <c r="AP760" s="109"/>
      <c r="AQ760" s="109"/>
      <c r="AR760" s="109"/>
      <c r="AS760" s="109"/>
      <c r="AT760" s="109"/>
      <c r="AU760" s="109"/>
    </row>
    <row r="761" spans="1:47" ht="14.25" customHeight="1" x14ac:dyDescent="0.3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  <c r="AD761" s="109"/>
      <c r="AE761" s="109"/>
      <c r="AF761" s="109"/>
      <c r="AG761" s="109"/>
      <c r="AH761" s="109"/>
      <c r="AI761" s="109"/>
      <c r="AJ761" s="109"/>
      <c r="AK761" s="109"/>
      <c r="AL761" s="109"/>
      <c r="AM761" s="109"/>
      <c r="AN761" s="109"/>
      <c r="AO761" s="109"/>
      <c r="AP761" s="109"/>
      <c r="AQ761" s="109"/>
      <c r="AR761" s="109"/>
      <c r="AS761" s="109"/>
      <c r="AT761" s="109"/>
      <c r="AU761" s="109"/>
    </row>
    <row r="762" spans="1:47" ht="14.25" customHeight="1" x14ac:dyDescent="0.3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  <c r="AD762" s="109"/>
      <c r="AE762" s="109"/>
      <c r="AF762" s="109"/>
      <c r="AG762" s="109"/>
      <c r="AH762" s="109"/>
      <c r="AI762" s="109"/>
      <c r="AJ762" s="109"/>
      <c r="AK762" s="109"/>
      <c r="AL762" s="109"/>
      <c r="AM762" s="109"/>
      <c r="AN762" s="109"/>
      <c r="AO762" s="109"/>
      <c r="AP762" s="109"/>
      <c r="AQ762" s="109"/>
      <c r="AR762" s="109"/>
      <c r="AS762" s="109"/>
      <c r="AT762" s="109"/>
      <c r="AU762" s="109"/>
    </row>
    <row r="763" spans="1:47" ht="14.25" customHeight="1" x14ac:dyDescent="0.3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  <c r="AL763" s="109"/>
      <c r="AM763" s="109"/>
      <c r="AN763" s="109"/>
      <c r="AO763" s="109"/>
      <c r="AP763" s="109"/>
      <c r="AQ763" s="109"/>
      <c r="AR763" s="109"/>
      <c r="AS763" s="109"/>
      <c r="AT763" s="109"/>
      <c r="AU763" s="109"/>
    </row>
    <row r="764" spans="1:47" ht="14.25" customHeight="1" x14ac:dyDescent="0.3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  <c r="AL764" s="109"/>
      <c r="AM764" s="109"/>
      <c r="AN764" s="109"/>
      <c r="AO764" s="109"/>
      <c r="AP764" s="109"/>
      <c r="AQ764" s="109"/>
      <c r="AR764" s="109"/>
      <c r="AS764" s="109"/>
      <c r="AT764" s="109"/>
      <c r="AU764" s="109"/>
    </row>
    <row r="765" spans="1:47" ht="14.25" customHeight="1" x14ac:dyDescent="0.3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  <c r="AD765" s="109"/>
      <c r="AE765" s="109"/>
      <c r="AF765" s="109"/>
      <c r="AG765" s="109"/>
      <c r="AH765" s="109"/>
      <c r="AI765" s="109"/>
      <c r="AJ765" s="109"/>
      <c r="AK765" s="109"/>
      <c r="AL765" s="109"/>
      <c r="AM765" s="109"/>
      <c r="AN765" s="109"/>
      <c r="AO765" s="109"/>
      <c r="AP765" s="109"/>
      <c r="AQ765" s="109"/>
      <c r="AR765" s="109"/>
      <c r="AS765" s="109"/>
      <c r="AT765" s="109"/>
      <c r="AU765" s="109"/>
    </row>
    <row r="766" spans="1:47" ht="14.25" customHeight="1" x14ac:dyDescent="0.3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  <c r="AD766" s="109"/>
      <c r="AE766" s="109"/>
      <c r="AF766" s="109"/>
      <c r="AG766" s="109"/>
      <c r="AH766" s="109"/>
      <c r="AI766" s="109"/>
      <c r="AJ766" s="109"/>
      <c r="AK766" s="109"/>
      <c r="AL766" s="109"/>
      <c r="AM766" s="109"/>
      <c r="AN766" s="109"/>
      <c r="AO766" s="109"/>
      <c r="AP766" s="109"/>
      <c r="AQ766" s="109"/>
      <c r="AR766" s="109"/>
      <c r="AS766" s="109"/>
      <c r="AT766" s="109"/>
      <c r="AU766" s="109"/>
    </row>
    <row r="767" spans="1:47" ht="14.25" customHeight="1" x14ac:dyDescent="0.3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  <c r="AD767" s="109"/>
      <c r="AE767" s="109"/>
      <c r="AF767" s="109"/>
      <c r="AG767" s="109"/>
      <c r="AH767" s="109"/>
      <c r="AI767" s="109"/>
      <c r="AJ767" s="109"/>
      <c r="AK767" s="109"/>
      <c r="AL767" s="109"/>
      <c r="AM767" s="109"/>
      <c r="AN767" s="109"/>
      <c r="AO767" s="109"/>
      <c r="AP767" s="109"/>
      <c r="AQ767" s="109"/>
      <c r="AR767" s="109"/>
      <c r="AS767" s="109"/>
      <c r="AT767" s="109"/>
      <c r="AU767" s="109"/>
    </row>
    <row r="768" spans="1:47" ht="14.25" customHeight="1" x14ac:dyDescent="0.3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  <c r="AD768" s="109"/>
      <c r="AE768" s="109"/>
      <c r="AF768" s="109"/>
      <c r="AG768" s="109"/>
      <c r="AH768" s="109"/>
      <c r="AI768" s="109"/>
      <c r="AJ768" s="109"/>
      <c r="AK768" s="109"/>
      <c r="AL768" s="109"/>
      <c r="AM768" s="109"/>
      <c r="AN768" s="109"/>
      <c r="AO768" s="109"/>
      <c r="AP768" s="109"/>
      <c r="AQ768" s="109"/>
      <c r="AR768" s="109"/>
      <c r="AS768" s="109"/>
      <c r="AT768" s="109"/>
      <c r="AU768" s="109"/>
    </row>
    <row r="769" spans="1:47" ht="14.25" customHeight="1" x14ac:dyDescent="0.3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  <c r="AD769" s="109"/>
      <c r="AE769" s="109"/>
      <c r="AF769" s="109"/>
      <c r="AG769" s="109"/>
      <c r="AH769" s="109"/>
      <c r="AI769" s="109"/>
      <c r="AJ769" s="109"/>
      <c r="AK769" s="109"/>
      <c r="AL769" s="109"/>
      <c r="AM769" s="109"/>
      <c r="AN769" s="109"/>
      <c r="AO769" s="109"/>
      <c r="AP769" s="109"/>
      <c r="AQ769" s="109"/>
      <c r="AR769" s="109"/>
      <c r="AS769" s="109"/>
      <c r="AT769" s="109"/>
      <c r="AU769" s="109"/>
    </row>
    <row r="770" spans="1:47" ht="14.25" customHeight="1" x14ac:dyDescent="0.3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  <c r="AD770" s="109"/>
      <c r="AE770" s="109"/>
      <c r="AF770" s="109"/>
      <c r="AG770" s="109"/>
      <c r="AH770" s="109"/>
      <c r="AI770" s="109"/>
      <c r="AJ770" s="109"/>
      <c r="AK770" s="109"/>
      <c r="AL770" s="109"/>
      <c r="AM770" s="109"/>
      <c r="AN770" s="109"/>
      <c r="AO770" s="109"/>
      <c r="AP770" s="109"/>
      <c r="AQ770" s="109"/>
      <c r="AR770" s="109"/>
      <c r="AS770" s="109"/>
      <c r="AT770" s="109"/>
      <c r="AU770" s="109"/>
    </row>
    <row r="771" spans="1:47" ht="14.25" customHeight="1" x14ac:dyDescent="0.3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  <c r="AD771" s="109"/>
      <c r="AE771" s="109"/>
      <c r="AF771" s="109"/>
      <c r="AG771" s="109"/>
      <c r="AH771" s="109"/>
      <c r="AI771" s="109"/>
      <c r="AJ771" s="109"/>
      <c r="AK771" s="109"/>
      <c r="AL771" s="109"/>
      <c r="AM771" s="109"/>
      <c r="AN771" s="109"/>
      <c r="AO771" s="109"/>
      <c r="AP771" s="109"/>
      <c r="AQ771" s="109"/>
      <c r="AR771" s="109"/>
      <c r="AS771" s="109"/>
      <c r="AT771" s="109"/>
      <c r="AU771" s="109"/>
    </row>
    <row r="772" spans="1:47" ht="14.25" customHeight="1" x14ac:dyDescent="0.3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  <c r="AD772" s="109"/>
      <c r="AE772" s="109"/>
      <c r="AF772" s="109"/>
      <c r="AG772" s="109"/>
      <c r="AH772" s="109"/>
      <c r="AI772" s="109"/>
      <c r="AJ772" s="109"/>
      <c r="AK772" s="109"/>
      <c r="AL772" s="109"/>
      <c r="AM772" s="109"/>
      <c r="AN772" s="109"/>
      <c r="AO772" s="109"/>
      <c r="AP772" s="109"/>
      <c r="AQ772" s="109"/>
      <c r="AR772" s="109"/>
      <c r="AS772" s="109"/>
      <c r="AT772" s="109"/>
      <c r="AU772" s="109"/>
    </row>
    <row r="773" spans="1:47" ht="14.25" customHeight="1" x14ac:dyDescent="0.3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  <c r="AD773" s="109"/>
      <c r="AE773" s="109"/>
      <c r="AF773" s="109"/>
      <c r="AG773" s="109"/>
      <c r="AH773" s="109"/>
      <c r="AI773" s="109"/>
      <c r="AJ773" s="109"/>
      <c r="AK773" s="109"/>
      <c r="AL773" s="109"/>
      <c r="AM773" s="109"/>
      <c r="AN773" s="109"/>
      <c r="AO773" s="109"/>
      <c r="AP773" s="109"/>
      <c r="AQ773" s="109"/>
      <c r="AR773" s="109"/>
      <c r="AS773" s="109"/>
      <c r="AT773" s="109"/>
      <c r="AU773" s="109"/>
    </row>
    <row r="774" spans="1:47" ht="14.25" customHeight="1" x14ac:dyDescent="0.3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09"/>
      <c r="AJ774" s="109"/>
      <c r="AK774" s="109"/>
      <c r="AL774" s="109"/>
      <c r="AM774" s="109"/>
      <c r="AN774" s="109"/>
      <c r="AO774" s="109"/>
      <c r="AP774" s="109"/>
      <c r="AQ774" s="109"/>
      <c r="AR774" s="109"/>
      <c r="AS774" s="109"/>
      <c r="AT774" s="109"/>
      <c r="AU774" s="109"/>
    </row>
    <row r="775" spans="1:47" ht="14.25" customHeight="1" x14ac:dyDescent="0.3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  <c r="AD775" s="109"/>
      <c r="AE775" s="109"/>
      <c r="AF775" s="109"/>
      <c r="AG775" s="109"/>
      <c r="AH775" s="109"/>
      <c r="AI775" s="109"/>
      <c r="AJ775" s="109"/>
      <c r="AK775" s="109"/>
      <c r="AL775" s="109"/>
      <c r="AM775" s="109"/>
      <c r="AN775" s="109"/>
      <c r="AO775" s="109"/>
      <c r="AP775" s="109"/>
      <c r="AQ775" s="109"/>
      <c r="AR775" s="109"/>
      <c r="AS775" s="109"/>
      <c r="AT775" s="109"/>
      <c r="AU775" s="109"/>
    </row>
    <row r="776" spans="1:47" ht="14.25" customHeight="1" x14ac:dyDescent="0.3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  <c r="AD776" s="109"/>
      <c r="AE776" s="109"/>
      <c r="AF776" s="109"/>
      <c r="AG776" s="109"/>
      <c r="AH776" s="109"/>
      <c r="AI776" s="109"/>
      <c r="AJ776" s="109"/>
      <c r="AK776" s="109"/>
      <c r="AL776" s="109"/>
      <c r="AM776" s="109"/>
      <c r="AN776" s="109"/>
      <c r="AO776" s="109"/>
      <c r="AP776" s="109"/>
      <c r="AQ776" s="109"/>
      <c r="AR776" s="109"/>
      <c r="AS776" s="109"/>
      <c r="AT776" s="109"/>
      <c r="AU776" s="109"/>
    </row>
    <row r="777" spans="1:47" ht="14.25" customHeight="1" x14ac:dyDescent="0.3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09"/>
      <c r="AI777" s="109"/>
      <c r="AJ777" s="109"/>
      <c r="AK777" s="109"/>
      <c r="AL777" s="109"/>
      <c r="AM777" s="109"/>
      <c r="AN777" s="109"/>
      <c r="AO777" s="109"/>
      <c r="AP777" s="109"/>
      <c r="AQ777" s="109"/>
      <c r="AR777" s="109"/>
      <c r="AS777" s="109"/>
      <c r="AT777" s="109"/>
      <c r="AU777" s="109"/>
    </row>
    <row r="778" spans="1:47" ht="14.25" customHeight="1" x14ac:dyDescent="0.3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  <c r="AL778" s="109"/>
      <c r="AM778" s="109"/>
      <c r="AN778" s="109"/>
      <c r="AO778" s="109"/>
      <c r="AP778" s="109"/>
      <c r="AQ778" s="109"/>
      <c r="AR778" s="109"/>
      <c r="AS778" s="109"/>
      <c r="AT778" s="109"/>
      <c r="AU778" s="109"/>
    </row>
    <row r="779" spans="1:47" ht="14.25" customHeight="1" x14ac:dyDescent="0.3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09"/>
      <c r="AI779" s="109"/>
      <c r="AJ779" s="109"/>
      <c r="AK779" s="109"/>
      <c r="AL779" s="109"/>
      <c r="AM779" s="109"/>
      <c r="AN779" s="109"/>
      <c r="AO779" s="109"/>
      <c r="AP779" s="109"/>
      <c r="AQ779" s="109"/>
      <c r="AR779" s="109"/>
      <c r="AS779" s="109"/>
      <c r="AT779" s="109"/>
      <c r="AU779" s="109"/>
    </row>
    <row r="780" spans="1:47" ht="14.25" customHeight="1" x14ac:dyDescent="0.3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09"/>
      <c r="AI780" s="109"/>
      <c r="AJ780" s="109"/>
      <c r="AK780" s="109"/>
      <c r="AL780" s="109"/>
      <c r="AM780" s="109"/>
      <c r="AN780" s="109"/>
      <c r="AO780" s="109"/>
      <c r="AP780" s="109"/>
      <c r="AQ780" s="109"/>
      <c r="AR780" s="109"/>
      <c r="AS780" s="109"/>
      <c r="AT780" s="109"/>
      <c r="AU780" s="109"/>
    </row>
    <row r="781" spans="1:47" ht="14.25" customHeight="1" x14ac:dyDescent="0.3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09"/>
      <c r="AI781" s="109"/>
      <c r="AJ781" s="109"/>
      <c r="AK781" s="109"/>
      <c r="AL781" s="109"/>
      <c r="AM781" s="109"/>
      <c r="AN781" s="109"/>
      <c r="AO781" s="109"/>
      <c r="AP781" s="109"/>
      <c r="AQ781" s="109"/>
      <c r="AR781" s="109"/>
      <c r="AS781" s="109"/>
      <c r="AT781" s="109"/>
      <c r="AU781" s="109"/>
    </row>
    <row r="782" spans="1:47" ht="14.25" customHeight="1" x14ac:dyDescent="0.3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09"/>
      <c r="AI782" s="109"/>
      <c r="AJ782" s="109"/>
      <c r="AK782" s="109"/>
      <c r="AL782" s="109"/>
      <c r="AM782" s="109"/>
      <c r="AN782" s="109"/>
      <c r="AO782" s="109"/>
      <c r="AP782" s="109"/>
      <c r="AQ782" s="109"/>
      <c r="AR782" s="109"/>
      <c r="AS782" s="109"/>
      <c r="AT782" s="109"/>
      <c r="AU782" s="109"/>
    </row>
    <row r="783" spans="1:47" ht="14.25" customHeight="1" x14ac:dyDescent="0.3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09"/>
      <c r="AI783" s="109"/>
      <c r="AJ783" s="109"/>
      <c r="AK783" s="109"/>
      <c r="AL783" s="109"/>
      <c r="AM783" s="109"/>
      <c r="AN783" s="109"/>
      <c r="AO783" s="109"/>
      <c r="AP783" s="109"/>
      <c r="AQ783" s="109"/>
      <c r="AR783" s="109"/>
      <c r="AS783" s="109"/>
      <c r="AT783" s="109"/>
      <c r="AU783" s="109"/>
    </row>
    <row r="784" spans="1:47" ht="14.25" customHeight="1" x14ac:dyDescent="0.3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  <c r="AL784" s="109"/>
      <c r="AM784" s="109"/>
      <c r="AN784" s="109"/>
      <c r="AO784" s="109"/>
      <c r="AP784" s="109"/>
      <c r="AQ784" s="109"/>
      <c r="AR784" s="109"/>
      <c r="AS784" s="109"/>
      <c r="AT784" s="109"/>
      <c r="AU784" s="109"/>
    </row>
    <row r="785" spans="1:47" ht="14.25" customHeight="1" x14ac:dyDescent="0.3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  <c r="AL785" s="109"/>
      <c r="AM785" s="109"/>
      <c r="AN785" s="109"/>
      <c r="AO785" s="109"/>
      <c r="AP785" s="109"/>
      <c r="AQ785" s="109"/>
      <c r="AR785" s="109"/>
      <c r="AS785" s="109"/>
      <c r="AT785" s="109"/>
      <c r="AU785" s="109"/>
    </row>
    <row r="786" spans="1:47" ht="14.25" customHeight="1" x14ac:dyDescent="0.3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  <c r="AL786" s="109"/>
      <c r="AM786" s="109"/>
      <c r="AN786" s="109"/>
      <c r="AO786" s="109"/>
      <c r="AP786" s="109"/>
      <c r="AQ786" s="109"/>
      <c r="AR786" s="109"/>
      <c r="AS786" s="109"/>
      <c r="AT786" s="109"/>
      <c r="AU786" s="109"/>
    </row>
    <row r="787" spans="1:47" ht="14.25" customHeight="1" x14ac:dyDescent="0.3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  <c r="AL787" s="109"/>
      <c r="AM787" s="109"/>
      <c r="AN787" s="109"/>
      <c r="AO787" s="109"/>
      <c r="AP787" s="109"/>
      <c r="AQ787" s="109"/>
      <c r="AR787" s="109"/>
      <c r="AS787" s="109"/>
      <c r="AT787" s="109"/>
      <c r="AU787" s="109"/>
    </row>
    <row r="788" spans="1:47" ht="14.25" customHeight="1" x14ac:dyDescent="0.3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  <c r="AL788" s="109"/>
      <c r="AM788" s="109"/>
      <c r="AN788" s="109"/>
      <c r="AO788" s="109"/>
      <c r="AP788" s="109"/>
      <c r="AQ788" s="109"/>
      <c r="AR788" s="109"/>
      <c r="AS788" s="109"/>
      <c r="AT788" s="109"/>
      <c r="AU788" s="109"/>
    </row>
    <row r="789" spans="1:47" ht="14.25" customHeight="1" x14ac:dyDescent="0.3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  <c r="AL789" s="109"/>
      <c r="AM789" s="109"/>
      <c r="AN789" s="109"/>
      <c r="AO789" s="109"/>
      <c r="AP789" s="109"/>
      <c r="AQ789" s="109"/>
      <c r="AR789" s="109"/>
      <c r="AS789" s="109"/>
      <c r="AT789" s="109"/>
      <c r="AU789" s="109"/>
    </row>
    <row r="790" spans="1:47" ht="14.25" customHeight="1" x14ac:dyDescent="0.3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  <c r="AL790" s="109"/>
      <c r="AM790" s="109"/>
      <c r="AN790" s="109"/>
      <c r="AO790" s="109"/>
      <c r="AP790" s="109"/>
      <c r="AQ790" s="109"/>
      <c r="AR790" s="109"/>
      <c r="AS790" s="109"/>
      <c r="AT790" s="109"/>
      <c r="AU790" s="109"/>
    </row>
    <row r="791" spans="1:47" ht="14.25" customHeight="1" x14ac:dyDescent="0.3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  <c r="AL791" s="109"/>
      <c r="AM791" s="109"/>
      <c r="AN791" s="109"/>
      <c r="AO791" s="109"/>
      <c r="AP791" s="109"/>
      <c r="AQ791" s="109"/>
      <c r="AR791" s="109"/>
      <c r="AS791" s="109"/>
      <c r="AT791" s="109"/>
      <c r="AU791" s="109"/>
    </row>
    <row r="792" spans="1:47" ht="14.25" customHeight="1" x14ac:dyDescent="0.3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  <c r="AL792" s="109"/>
      <c r="AM792" s="109"/>
      <c r="AN792" s="109"/>
      <c r="AO792" s="109"/>
      <c r="AP792" s="109"/>
      <c r="AQ792" s="109"/>
      <c r="AR792" s="109"/>
      <c r="AS792" s="109"/>
      <c r="AT792" s="109"/>
      <c r="AU792" s="109"/>
    </row>
    <row r="793" spans="1:47" ht="14.25" customHeight="1" x14ac:dyDescent="0.3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09"/>
      <c r="AI793" s="109"/>
      <c r="AJ793" s="109"/>
      <c r="AK793" s="109"/>
      <c r="AL793" s="109"/>
      <c r="AM793" s="109"/>
      <c r="AN793" s="109"/>
      <c r="AO793" s="109"/>
      <c r="AP793" s="109"/>
      <c r="AQ793" s="109"/>
      <c r="AR793" s="109"/>
      <c r="AS793" s="109"/>
      <c r="AT793" s="109"/>
      <c r="AU793" s="109"/>
    </row>
    <row r="794" spans="1:47" ht="14.25" customHeight="1" x14ac:dyDescent="0.3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09"/>
      <c r="AI794" s="109"/>
      <c r="AJ794" s="109"/>
      <c r="AK794" s="109"/>
      <c r="AL794" s="109"/>
      <c r="AM794" s="109"/>
      <c r="AN794" s="109"/>
      <c r="AO794" s="109"/>
      <c r="AP794" s="109"/>
      <c r="AQ794" s="109"/>
      <c r="AR794" s="109"/>
      <c r="AS794" s="109"/>
      <c r="AT794" s="109"/>
      <c r="AU794" s="109"/>
    </row>
    <row r="795" spans="1:47" ht="14.25" customHeight="1" x14ac:dyDescent="0.3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09"/>
      <c r="AI795" s="109"/>
      <c r="AJ795" s="109"/>
      <c r="AK795" s="109"/>
      <c r="AL795" s="109"/>
      <c r="AM795" s="109"/>
      <c r="AN795" s="109"/>
      <c r="AO795" s="109"/>
      <c r="AP795" s="109"/>
      <c r="AQ795" s="109"/>
      <c r="AR795" s="109"/>
      <c r="AS795" s="109"/>
      <c r="AT795" s="109"/>
      <c r="AU795" s="109"/>
    </row>
    <row r="796" spans="1:47" ht="14.25" customHeight="1" x14ac:dyDescent="0.3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09"/>
      <c r="AI796" s="109"/>
      <c r="AJ796" s="109"/>
      <c r="AK796" s="109"/>
      <c r="AL796" s="109"/>
      <c r="AM796" s="109"/>
      <c r="AN796" s="109"/>
      <c r="AO796" s="109"/>
      <c r="AP796" s="109"/>
      <c r="AQ796" s="109"/>
      <c r="AR796" s="109"/>
      <c r="AS796" s="109"/>
      <c r="AT796" s="109"/>
      <c r="AU796" s="109"/>
    </row>
    <row r="797" spans="1:47" ht="14.25" customHeight="1" x14ac:dyDescent="0.3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09"/>
      <c r="AH797" s="109"/>
      <c r="AI797" s="109"/>
      <c r="AJ797" s="109"/>
      <c r="AK797" s="109"/>
      <c r="AL797" s="109"/>
      <c r="AM797" s="109"/>
      <c r="AN797" s="109"/>
      <c r="AO797" s="109"/>
      <c r="AP797" s="109"/>
      <c r="AQ797" s="109"/>
      <c r="AR797" s="109"/>
      <c r="AS797" s="109"/>
      <c r="AT797" s="109"/>
      <c r="AU797" s="109"/>
    </row>
    <row r="798" spans="1:47" ht="14.25" customHeight="1" x14ac:dyDescent="0.3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09"/>
      <c r="AJ798" s="109"/>
      <c r="AK798" s="109"/>
      <c r="AL798" s="109"/>
      <c r="AM798" s="109"/>
      <c r="AN798" s="109"/>
      <c r="AO798" s="109"/>
      <c r="AP798" s="109"/>
      <c r="AQ798" s="109"/>
      <c r="AR798" s="109"/>
      <c r="AS798" s="109"/>
      <c r="AT798" s="109"/>
      <c r="AU798" s="109"/>
    </row>
    <row r="799" spans="1:47" ht="14.25" customHeight="1" x14ac:dyDescent="0.3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  <c r="AL799" s="109"/>
      <c r="AM799" s="109"/>
      <c r="AN799" s="109"/>
      <c r="AO799" s="109"/>
      <c r="AP799" s="109"/>
      <c r="AQ799" s="109"/>
      <c r="AR799" s="109"/>
      <c r="AS799" s="109"/>
      <c r="AT799" s="109"/>
      <c r="AU799" s="109"/>
    </row>
    <row r="800" spans="1:47" ht="14.25" customHeight="1" x14ac:dyDescent="0.3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  <c r="AL800" s="109"/>
      <c r="AM800" s="109"/>
      <c r="AN800" s="109"/>
      <c r="AO800" s="109"/>
      <c r="AP800" s="109"/>
      <c r="AQ800" s="109"/>
      <c r="AR800" s="109"/>
      <c r="AS800" s="109"/>
      <c r="AT800" s="109"/>
      <c r="AU800" s="109"/>
    </row>
    <row r="801" spans="1:47" ht="14.25" customHeight="1" x14ac:dyDescent="0.3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  <c r="AL801" s="109"/>
      <c r="AM801" s="109"/>
      <c r="AN801" s="109"/>
      <c r="AO801" s="109"/>
      <c r="AP801" s="109"/>
      <c r="AQ801" s="109"/>
      <c r="AR801" s="109"/>
      <c r="AS801" s="109"/>
      <c r="AT801" s="109"/>
      <c r="AU801" s="109"/>
    </row>
    <row r="802" spans="1:47" ht="14.25" customHeight="1" x14ac:dyDescent="0.3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  <c r="AL802" s="109"/>
      <c r="AM802" s="109"/>
      <c r="AN802" s="109"/>
      <c r="AO802" s="109"/>
      <c r="AP802" s="109"/>
      <c r="AQ802" s="109"/>
      <c r="AR802" s="109"/>
      <c r="AS802" s="109"/>
      <c r="AT802" s="109"/>
      <c r="AU802" s="109"/>
    </row>
    <row r="803" spans="1:47" ht="14.25" customHeight="1" x14ac:dyDescent="0.3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  <c r="AL803" s="109"/>
      <c r="AM803" s="109"/>
      <c r="AN803" s="109"/>
      <c r="AO803" s="109"/>
      <c r="AP803" s="109"/>
      <c r="AQ803" s="109"/>
      <c r="AR803" s="109"/>
      <c r="AS803" s="109"/>
      <c r="AT803" s="109"/>
      <c r="AU803" s="109"/>
    </row>
    <row r="804" spans="1:47" ht="14.25" customHeight="1" x14ac:dyDescent="0.3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  <c r="AL804" s="109"/>
      <c r="AM804" s="109"/>
      <c r="AN804" s="109"/>
      <c r="AO804" s="109"/>
      <c r="AP804" s="109"/>
      <c r="AQ804" s="109"/>
      <c r="AR804" s="109"/>
      <c r="AS804" s="109"/>
      <c r="AT804" s="109"/>
      <c r="AU804" s="109"/>
    </row>
    <row r="805" spans="1:47" ht="14.25" customHeight="1" x14ac:dyDescent="0.3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  <c r="AO805" s="109"/>
      <c r="AP805" s="109"/>
      <c r="AQ805" s="109"/>
      <c r="AR805" s="109"/>
      <c r="AS805" s="109"/>
      <c r="AT805" s="109"/>
      <c r="AU805" s="109"/>
    </row>
    <row r="806" spans="1:47" ht="14.25" customHeight="1" x14ac:dyDescent="0.3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  <c r="AO806" s="109"/>
      <c r="AP806" s="109"/>
      <c r="AQ806" s="109"/>
      <c r="AR806" s="109"/>
      <c r="AS806" s="109"/>
      <c r="AT806" s="109"/>
      <c r="AU806" s="109"/>
    </row>
    <row r="807" spans="1:47" ht="14.25" customHeight="1" x14ac:dyDescent="0.3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  <c r="AO807" s="109"/>
      <c r="AP807" s="109"/>
      <c r="AQ807" s="109"/>
      <c r="AR807" s="109"/>
      <c r="AS807" s="109"/>
      <c r="AT807" s="109"/>
      <c r="AU807" s="109"/>
    </row>
    <row r="808" spans="1:47" ht="14.25" customHeight="1" x14ac:dyDescent="0.3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  <c r="AL808" s="109"/>
      <c r="AM808" s="109"/>
      <c r="AN808" s="109"/>
      <c r="AO808" s="109"/>
      <c r="AP808" s="109"/>
      <c r="AQ808" s="109"/>
      <c r="AR808" s="109"/>
      <c r="AS808" s="109"/>
      <c r="AT808" s="109"/>
      <c r="AU808" s="109"/>
    </row>
    <row r="809" spans="1:47" ht="14.25" customHeight="1" x14ac:dyDescent="0.3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  <c r="AL809" s="109"/>
      <c r="AM809" s="109"/>
      <c r="AN809" s="109"/>
      <c r="AO809" s="109"/>
      <c r="AP809" s="109"/>
      <c r="AQ809" s="109"/>
      <c r="AR809" s="109"/>
      <c r="AS809" s="109"/>
      <c r="AT809" s="109"/>
      <c r="AU809" s="109"/>
    </row>
    <row r="810" spans="1:47" ht="14.25" customHeight="1" x14ac:dyDescent="0.3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  <c r="AL810" s="109"/>
      <c r="AM810" s="109"/>
      <c r="AN810" s="109"/>
      <c r="AO810" s="109"/>
      <c r="AP810" s="109"/>
      <c r="AQ810" s="109"/>
      <c r="AR810" s="109"/>
      <c r="AS810" s="109"/>
      <c r="AT810" s="109"/>
      <c r="AU810" s="109"/>
    </row>
    <row r="811" spans="1:47" ht="14.25" customHeight="1" x14ac:dyDescent="0.3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  <c r="AL811" s="109"/>
      <c r="AM811" s="109"/>
      <c r="AN811" s="109"/>
      <c r="AO811" s="109"/>
      <c r="AP811" s="109"/>
      <c r="AQ811" s="109"/>
      <c r="AR811" s="109"/>
      <c r="AS811" s="109"/>
      <c r="AT811" s="109"/>
      <c r="AU811" s="109"/>
    </row>
    <row r="812" spans="1:47" ht="14.25" customHeight="1" x14ac:dyDescent="0.3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  <c r="AL812" s="109"/>
      <c r="AM812" s="109"/>
      <c r="AN812" s="109"/>
      <c r="AO812" s="109"/>
      <c r="AP812" s="109"/>
      <c r="AQ812" s="109"/>
      <c r="AR812" s="109"/>
      <c r="AS812" s="109"/>
      <c r="AT812" s="109"/>
      <c r="AU812" s="109"/>
    </row>
    <row r="813" spans="1:47" ht="14.25" customHeight="1" x14ac:dyDescent="0.3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  <c r="AL813" s="109"/>
      <c r="AM813" s="109"/>
      <c r="AN813" s="109"/>
      <c r="AO813" s="109"/>
      <c r="AP813" s="109"/>
      <c r="AQ813" s="109"/>
      <c r="AR813" s="109"/>
      <c r="AS813" s="109"/>
      <c r="AT813" s="109"/>
      <c r="AU813" s="109"/>
    </row>
    <row r="814" spans="1:47" ht="14.25" customHeight="1" x14ac:dyDescent="0.3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  <c r="AL814" s="109"/>
      <c r="AM814" s="109"/>
      <c r="AN814" s="109"/>
      <c r="AO814" s="109"/>
      <c r="AP814" s="109"/>
      <c r="AQ814" s="109"/>
      <c r="AR814" s="109"/>
      <c r="AS814" s="109"/>
      <c r="AT814" s="109"/>
      <c r="AU814" s="109"/>
    </row>
    <row r="815" spans="1:47" ht="14.25" customHeight="1" x14ac:dyDescent="0.3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  <c r="AL815" s="109"/>
      <c r="AM815" s="109"/>
      <c r="AN815" s="109"/>
      <c r="AO815" s="109"/>
      <c r="AP815" s="109"/>
      <c r="AQ815" s="109"/>
      <c r="AR815" s="109"/>
      <c r="AS815" s="109"/>
      <c r="AT815" s="109"/>
      <c r="AU815" s="109"/>
    </row>
    <row r="816" spans="1:47" ht="14.25" customHeight="1" x14ac:dyDescent="0.3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  <c r="AL816" s="109"/>
      <c r="AM816" s="109"/>
      <c r="AN816" s="109"/>
      <c r="AO816" s="109"/>
      <c r="AP816" s="109"/>
      <c r="AQ816" s="109"/>
      <c r="AR816" s="109"/>
      <c r="AS816" s="109"/>
      <c r="AT816" s="109"/>
      <c r="AU816" s="109"/>
    </row>
    <row r="817" spans="1:47" ht="14.25" customHeight="1" x14ac:dyDescent="0.3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  <c r="AD817" s="109"/>
      <c r="AE817" s="109"/>
      <c r="AF817" s="109"/>
      <c r="AG817" s="109"/>
      <c r="AH817" s="109"/>
      <c r="AI817" s="109"/>
      <c r="AJ817" s="109"/>
      <c r="AK817" s="109"/>
      <c r="AL817" s="109"/>
      <c r="AM817" s="109"/>
      <c r="AN817" s="109"/>
      <c r="AO817" s="109"/>
      <c r="AP817" s="109"/>
      <c r="AQ817" s="109"/>
      <c r="AR817" s="109"/>
      <c r="AS817" s="109"/>
      <c r="AT817" s="109"/>
      <c r="AU817" s="109"/>
    </row>
    <row r="818" spans="1:47" ht="14.25" customHeight="1" x14ac:dyDescent="0.3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  <c r="AD818" s="109"/>
      <c r="AE818" s="109"/>
      <c r="AF818" s="109"/>
      <c r="AG818" s="109"/>
      <c r="AH818" s="109"/>
      <c r="AI818" s="109"/>
      <c r="AJ818" s="109"/>
      <c r="AK818" s="109"/>
      <c r="AL818" s="109"/>
      <c r="AM818" s="109"/>
      <c r="AN818" s="109"/>
      <c r="AO818" s="109"/>
      <c r="AP818" s="109"/>
      <c r="AQ818" s="109"/>
      <c r="AR818" s="109"/>
      <c r="AS818" s="109"/>
      <c r="AT818" s="109"/>
      <c r="AU818" s="109"/>
    </row>
    <row r="819" spans="1:47" ht="14.25" customHeight="1" x14ac:dyDescent="0.3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  <c r="AL819" s="109"/>
      <c r="AM819" s="109"/>
      <c r="AN819" s="109"/>
      <c r="AO819" s="109"/>
      <c r="AP819" s="109"/>
      <c r="AQ819" s="109"/>
      <c r="AR819" s="109"/>
      <c r="AS819" s="109"/>
      <c r="AT819" s="109"/>
      <c r="AU819" s="109"/>
    </row>
    <row r="820" spans="1:47" ht="14.25" customHeight="1" x14ac:dyDescent="0.3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  <c r="AL820" s="109"/>
      <c r="AM820" s="109"/>
      <c r="AN820" s="109"/>
      <c r="AO820" s="109"/>
      <c r="AP820" s="109"/>
      <c r="AQ820" s="109"/>
      <c r="AR820" s="109"/>
      <c r="AS820" s="109"/>
      <c r="AT820" s="109"/>
      <c r="AU820" s="109"/>
    </row>
    <row r="821" spans="1:47" ht="14.25" customHeight="1" x14ac:dyDescent="0.3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  <c r="AD821" s="109"/>
      <c r="AE821" s="109"/>
      <c r="AF821" s="109"/>
      <c r="AG821" s="109"/>
      <c r="AH821" s="109"/>
      <c r="AI821" s="109"/>
      <c r="AJ821" s="109"/>
      <c r="AK821" s="109"/>
      <c r="AL821" s="109"/>
      <c r="AM821" s="109"/>
      <c r="AN821" s="109"/>
      <c r="AO821" s="109"/>
      <c r="AP821" s="109"/>
      <c r="AQ821" s="109"/>
      <c r="AR821" s="109"/>
      <c r="AS821" s="109"/>
      <c r="AT821" s="109"/>
      <c r="AU821" s="109"/>
    </row>
    <row r="822" spans="1:47" ht="14.25" customHeight="1" x14ac:dyDescent="0.3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  <c r="AD822" s="109"/>
      <c r="AE822" s="109"/>
      <c r="AF822" s="109"/>
      <c r="AG822" s="109"/>
      <c r="AH822" s="109"/>
      <c r="AI822" s="109"/>
      <c r="AJ822" s="109"/>
      <c r="AK822" s="109"/>
      <c r="AL822" s="109"/>
      <c r="AM822" s="109"/>
      <c r="AN822" s="109"/>
      <c r="AO822" s="109"/>
      <c r="AP822" s="109"/>
      <c r="AQ822" s="109"/>
      <c r="AR822" s="109"/>
      <c r="AS822" s="109"/>
      <c r="AT822" s="109"/>
      <c r="AU822" s="109"/>
    </row>
    <row r="823" spans="1:47" ht="14.25" customHeight="1" x14ac:dyDescent="0.3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  <c r="AL823" s="109"/>
      <c r="AM823" s="109"/>
      <c r="AN823" s="109"/>
      <c r="AO823" s="109"/>
      <c r="AP823" s="109"/>
      <c r="AQ823" s="109"/>
      <c r="AR823" s="109"/>
      <c r="AS823" s="109"/>
      <c r="AT823" s="109"/>
      <c r="AU823" s="109"/>
    </row>
    <row r="824" spans="1:47" ht="14.25" customHeight="1" x14ac:dyDescent="0.3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  <c r="AL824" s="109"/>
      <c r="AM824" s="109"/>
      <c r="AN824" s="109"/>
      <c r="AO824" s="109"/>
      <c r="AP824" s="109"/>
      <c r="AQ824" s="109"/>
      <c r="AR824" s="109"/>
      <c r="AS824" s="109"/>
      <c r="AT824" s="109"/>
      <c r="AU824" s="109"/>
    </row>
    <row r="825" spans="1:47" ht="14.25" customHeight="1" x14ac:dyDescent="0.3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  <c r="AL825" s="109"/>
      <c r="AM825" s="109"/>
      <c r="AN825" s="109"/>
      <c r="AO825" s="109"/>
      <c r="AP825" s="109"/>
      <c r="AQ825" s="109"/>
      <c r="AR825" s="109"/>
      <c r="AS825" s="109"/>
      <c r="AT825" s="109"/>
      <c r="AU825" s="109"/>
    </row>
    <row r="826" spans="1:47" ht="14.25" customHeight="1" x14ac:dyDescent="0.3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  <c r="AL826" s="109"/>
      <c r="AM826" s="109"/>
      <c r="AN826" s="109"/>
      <c r="AO826" s="109"/>
      <c r="AP826" s="109"/>
      <c r="AQ826" s="109"/>
      <c r="AR826" s="109"/>
      <c r="AS826" s="109"/>
      <c r="AT826" s="109"/>
      <c r="AU826" s="109"/>
    </row>
    <row r="827" spans="1:47" ht="14.25" customHeight="1" x14ac:dyDescent="0.3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  <c r="AL827" s="109"/>
      <c r="AM827" s="109"/>
      <c r="AN827" s="109"/>
      <c r="AO827" s="109"/>
      <c r="AP827" s="109"/>
      <c r="AQ827" s="109"/>
      <c r="AR827" s="109"/>
      <c r="AS827" s="109"/>
      <c r="AT827" s="109"/>
      <c r="AU827" s="109"/>
    </row>
    <row r="828" spans="1:47" ht="14.25" customHeight="1" x14ac:dyDescent="0.3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  <c r="AL828" s="109"/>
      <c r="AM828" s="109"/>
      <c r="AN828" s="109"/>
      <c r="AO828" s="109"/>
      <c r="AP828" s="109"/>
      <c r="AQ828" s="109"/>
      <c r="AR828" s="109"/>
      <c r="AS828" s="109"/>
      <c r="AT828" s="109"/>
      <c r="AU828" s="109"/>
    </row>
    <row r="829" spans="1:47" ht="14.25" customHeight="1" x14ac:dyDescent="0.3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  <c r="AL829" s="109"/>
      <c r="AM829" s="109"/>
      <c r="AN829" s="109"/>
      <c r="AO829" s="109"/>
      <c r="AP829" s="109"/>
      <c r="AQ829" s="109"/>
      <c r="AR829" s="109"/>
      <c r="AS829" s="109"/>
      <c r="AT829" s="109"/>
      <c r="AU829" s="109"/>
    </row>
    <row r="830" spans="1:47" ht="14.25" customHeight="1" x14ac:dyDescent="0.3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  <c r="AL830" s="109"/>
      <c r="AM830" s="109"/>
      <c r="AN830" s="109"/>
      <c r="AO830" s="109"/>
      <c r="AP830" s="109"/>
      <c r="AQ830" s="109"/>
      <c r="AR830" s="109"/>
      <c r="AS830" s="109"/>
      <c r="AT830" s="109"/>
      <c r="AU830" s="109"/>
    </row>
    <row r="831" spans="1:47" ht="14.25" customHeight="1" x14ac:dyDescent="0.3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  <c r="AL831" s="109"/>
      <c r="AM831" s="109"/>
      <c r="AN831" s="109"/>
      <c r="AO831" s="109"/>
      <c r="AP831" s="109"/>
      <c r="AQ831" s="109"/>
      <c r="AR831" s="109"/>
      <c r="AS831" s="109"/>
      <c r="AT831" s="109"/>
      <c r="AU831" s="109"/>
    </row>
    <row r="832" spans="1:47" ht="14.25" customHeight="1" x14ac:dyDescent="0.3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  <c r="AL832" s="109"/>
      <c r="AM832" s="109"/>
      <c r="AN832" s="109"/>
      <c r="AO832" s="109"/>
      <c r="AP832" s="109"/>
      <c r="AQ832" s="109"/>
      <c r="AR832" s="109"/>
      <c r="AS832" s="109"/>
      <c r="AT832" s="109"/>
      <c r="AU832" s="109"/>
    </row>
    <row r="833" spans="1:47" ht="14.25" customHeight="1" x14ac:dyDescent="0.3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  <c r="AL833" s="109"/>
      <c r="AM833" s="109"/>
      <c r="AN833" s="109"/>
      <c r="AO833" s="109"/>
      <c r="AP833" s="109"/>
      <c r="AQ833" s="109"/>
      <c r="AR833" s="109"/>
      <c r="AS833" s="109"/>
      <c r="AT833" s="109"/>
      <c r="AU833" s="109"/>
    </row>
    <row r="834" spans="1:47" ht="14.25" customHeight="1" x14ac:dyDescent="0.3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  <c r="AD834" s="109"/>
      <c r="AE834" s="109"/>
      <c r="AF834" s="109"/>
      <c r="AG834" s="109"/>
      <c r="AH834" s="109"/>
      <c r="AI834" s="109"/>
      <c r="AJ834" s="109"/>
      <c r="AK834" s="109"/>
      <c r="AL834" s="109"/>
      <c r="AM834" s="109"/>
      <c r="AN834" s="109"/>
      <c r="AO834" s="109"/>
      <c r="AP834" s="109"/>
      <c r="AQ834" s="109"/>
      <c r="AR834" s="109"/>
      <c r="AS834" s="109"/>
      <c r="AT834" s="109"/>
      <c r="AU834" s="109"/>
    </row>
    <row r="835" spans="1:47" ht="14.25" customHeight="1" x14ac:dyDescent="0.3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  <c r="AL835" s="109"/>
      <c r="AM835" s="109"/>
      <c r="AN835" s="109"/>
      <c r="AO835" s="109"/>
      <c r="AP835" s="109"/>
      <c r="AQ835" s="109"/>
      <c r="AR835" s="109"/>
      <c r="AS835" s="109"/>
      <c r="AT835" s="109"/>
      <c r="AU835" s="109"/>
    </row>
    <row r="836" spans="1:47" ht="14.25" customHeight="1" x14ac:dyDescent="0.3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  <c r="AD836" s="109"/>
      <c r="AE836" s="109"/>
      <c r="AF836" s="109"/>
      <c r="AG836" s="109"/>
      <c r="AH836" s="109"/>
      <c r="AI836" s="109"/>
      <c r="AJ836" s="109"/>
      <c r="AK836" s="109"/>
      <c r="AL836" s="109"/>
      <c r="AM836" s="109"/>
      <c r="AN836" s="109"/>
      <c r="AO836" s="109"/>
      <c r="AP836" s="109"/>
      <c r="AQ836" s="109"/>
      <c r="AR836" s="109"/>
      <c r="AS836" s="109"/>
      <c r="AT836" s="109"/>
      <c r="AU836" s="109"/>
    </row>
    <row r="837" spans="1:47" ht="14.25" customHeight="1" x14ac:dyDescent="0.3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  <c r="AL837" s="109"/>
      <c r="AM837" s="109"/>
      <c r="AN837" s="109"/>
      <c r="AO837" s="109"/>
      <c r="AP837" s="109"/>
      <c r="AQ837" s="109"/>
      <c r="AR837" s="109"/>
      <c r="AS837" s="109"/>
      <c r="AT837" s="109"/>
      <c r="AU837" s="109"/>
    </row>
    <row r="838" spans="1:47" ht="14.25" customHeight="1" x14ac:dyDescent="0.3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  <c r="AD838" s="109"/>
      <c r="AE838" s="109"/>
      <c r="AF838" s="109"/>
      <c r="AG838" s="109"/>
      <c r="AH838" s="109"/>
      <c r="AI838" s="109"/>
      <c r="AJ838" s="109"/>
      <c r="AK838" s="109"/>
      <c r="AL838" s="109"/>
      <c r="AM838" s="109"/>
      <c r="AN838" s="109"/>
      <c r="AO838" s="109"/>
      <c r="AP838" s="109"/>
      <c r="AQ838" s="109"/>
      <c r="AR838" s="109"/>
      <c r="AS838" s="109"/>
      <c r="AT838" s="109"/>
      <c r="AU838" s="109"/>
    </row>
    <row r="839" spans="1:47" ht="14.25" customHeight="1" x14ac:dyDescent="0.3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  <c r="AD839" s="109"/>
      <c r="AE839" s="109"/>
      <c r="AF839" s="109"/>
      <c r="AG839" s="109"/>
      <c r="AH839" s="109"/>
      <c r="AI839" s="109"/>
      <c r="AJ839" s="109"/>
      <c r="AK839" s="109"/>
      <c r="AL839" s="109"/>
      <c r="AM839" s="109"/>
      <c r="AN839" s="109"/>
      <c r="AO839" s="109"/>
      <c r="AP839" s="109"/>
      <c r="AQ839" s="109"/>
      <c r="AR839" s="109"/>
      <c r="AS839" s="109"/>
      <c r="AT839" s="109"/>
      <c r="AU839" s="109"/>
    </row>
    <row r="840" spans="1:47" ht="14.25" customHeight="1" x14ac:dyDescent="0.3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  <c r="AD840" s="109"/>
      <c r="AE840" s="109"/>
      <c r="AF840" s="109"/>
      <c r="AG840" s="109"/>
      <c r="AH840" s="109"/>
      <c r="AI840" s="109"/>
      <c r="AJ840" s="109"/>
      <c r="AK840" s="109"/>
      <c r="AL840" s="109"/>
      <c r="AM840" s="109"/>
      <c r="AN840" s="109"/>
      <c r="AO840" s="109"/>
      <c r="AP840" s="109"/>
      <c r="AQ840" s="109"/>
      <c r="AR840" s="109"/>
      <c r="AS840" s="109"/>
      <c r="AT840" s="109"/>
      <c r="AU840" s="109"/>
    </row>
    <row r="841" spans="1:47" ht="14.25" customHeight="1" x14ac:dyDescent="0.3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  <c r="AD841" s="109"/>
      <c r="AE841" s="109"/>
      <c r="AF841" s="109"/>
      <c r="AG841" s="109"/>
      <c r="AH841" s="109"/>
      <c r="AI841" s="109"/>
      <c r="AJ841" s="109"/>
      <c r="AK841" s="109"/>
      <c r="AL841" s="109"/>
      <c r="AM841" s="109"/>
      <c r="AN841" s="109"/>
      <c r="AO841" s="109"/>
      <c r="AP841" s="109"/>
      <c r="AQ841" s="109"/>
      <c r="AR841" s="109"/>
      <c r="AS841" s="109"/>
      <c r="AT841" s="109"/>
      <c r="AU841" s="109"/>
    </row>
    <row r="842" spans="1:47" ht="14.25" customHeight="1" x14ac:dyDescent="0.3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  <c r="AL842" s="109"/>
      <c r="AM842" s="109"/>
      <c r="AN842" s="109"/>
      <c r="AO842" s="109"/>
      <c r="AP842" s="109"/>
      <c r="AQ842" s="109"/>
      <c r="AR842" s="109"/>
      <c r="AS842" s="109"/>
      <c r="AT842" s="109"/>
      <c r="AU842" s="109"/>
    </row>
    <row r="843" spans="1:47" ht="14.25" customHeight="1" x14ac:dyDescent="0.3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  <c r="AD843" s="109"/>
      <c r="AE843" s="109"/>
      <c r="AF843" s="109"/>
      <c r="AG843" s="109"/>
      <c r="AH843" s="109"/>
      <c r="AI843" s="109"/>
      <c r="AJ843" s="109"/>
      <c r="AK843" s="109"/>
      <c r="AL843" s="109"/>
      <c r="AM843" s="109"/>
      <c r="AN843" s="109"/>
      <c r="AO843" s="109"/>
      <c r="AP843" s="109"/>
      <c r="AQ843" s="109"/>
      <c r="AR843" s="109"/>
      <c r="AS843" s="109"/>
      <c r="AT843" s="109"/>
      <c r="AU843" s="109"/>
    </row>
    <row r="844" spans="1:47" ht="14.25" customHeight="1" x14ac:dyDescent="0.3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  <c r="AL844" s="109"/>
      <c r="AM844" s="109"/>
      <c r="AN844" s="109"/>
      <c r="AO844" s="109"/>
      <c r="AP844" s="109"/>
      <c r="AQ844" s="109"/>
      <c r="AR844" s="109"/>
      <c r="AS844" s="109"/>
      <c r="AT844" s="109"/>
      <c r="AU844" s="109"/>
    </row>
    <row r="845" spans="1:47" ht="14.25" customHeight="1" x14ac:dyDescent="0.3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  <c r="AL845" s="109"/>
      <c r="AM845" s="109"/>
      <c r="AN845" s="109"/>
      <c r="AO845" s="109"/>
      <c r="AP845" s="109"/>
      <c r="AQ845" s="109"/>
      <c r="AR845" s="109"/>
      <c r="AS845" s="109"/>
      <c r="AT845" s="109"/>
      <c r="AU845" s="109"/>
    </row>
    <row r="846" spans="1:47" ht="14.25" customHeight="1" x14ac:dyDescent="0.3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  <c r="AD846" s="109"/>
      <c r="AE846" s="109"/>
      <c r="AF846" s="109"/>
      <c r="AG846" s="109"/>
      <c r="AH846" s="109"/>
      <c r="AI846" s="109"/>
      <c r="AJ846" s="109"/>
      <c r="AK846" s="109"/>
      <c r="AL846" s="109"/>
      <c r="AM846" s="109"/>
      <c r="AN846" s="109"/>
      <c r="AO846" s="109"/>
      <c r="AP846" s="109"/>
      <c r="AQ846" s="109"/>
      <c r="AR846" s="109"/>
      <c r="AS846" s="109"/>
      <c r="AT846" s="109"/>
      <c r="AU846" s="109"/>
    </row>
    <row r="847" spans="1:47" ht="14.25" customHeight="1" x14ac:dyDescent="0.3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  <c r="AL847" s="109"/>
      <c r="AM847" s="109"/>
      <c r="AN847" s="109"/>
      <c r="AO847" s="109"/>
      <c r="AP847" s="109"/>
      <c r="AQ847" s="109"/>
      <c r="AR847" s="109"/>
      <c r="AS847" s="109"/>
      <c r="AT847" s="109"/>
      <c r="AU847" s="109"/>
    </row>
    <row r="848" spans="1:47" ht="14.25" customHeight="1" x14ac:dyDescent="0.3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  <c r="AL848" s="109"/>
      <c r="AM848" s="109"/>
      <c r="AN848" s="109"/>
      <c r="AO848" s="109"/>
      <c r="AP848" s="109"/>
      <c r="AQ848" s="109"/>
      <c r="AR848" s="109"/>
      <c r="AS848" s="109"/>
      <c r="AT848" s="109"/>
      <c r="AU848" s="109"/>
    </row>
    <row r="849" spans="1:47" ht="14.25" customHeight="1" x14ac:dyDescent="0.3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  <c r="AL849" s="109"/>
      <c r="AM849" s="109"/>
      <c r="AN849" s="109"/>
      <c r="AO849" s="109"/>
      <c r="AP849" s="109"/>
      <c r="AQ849" s="109"/>
      <c r="AR849" s="109"/>
      <c r="AS849" s="109"/>
      <c r="AT849" s="109"/>
      <c r="AU849" s="109"/>
    </row>
    <row r="850" spans="1:47" ht="14.25" customHeight="1" x14ac:dyDescent="0.3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  <c r="AD850" s="109"/>
      <c r="AE850" s="109"/>
      <c r="AF850" s="109"/>
      <c r="AG850" s="109"/>
      <c r="AH850" s="109"/>
      <c r="AI850" s="109"/>
      <c r="AJ850" s="109"/>
      <c r="AK850" s="109"/>
      <c r="AL850" s="109"/>
      <c r="AM850" s="109"/>
      <c r="AN850" s="109"/>
      <c r="AO850" s="109"/>
      <c r="AP850" s="109"/>
      <c r="AQ850" s="109"/>
      <c r="AR850" s="109"/>
      <c r="AS850" s="109"/>
      <c r="AT850" s="109"/>
      <c r="AU850" s="109"/>
    </row>
    <row r="851" spans="1:47" ht="14.25" customHeight="1" x14ac:dyDescent="0.3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  <c r="AL851" s="109"/>
      <c r="AM851" s="109"/>
      <c r="AN851" s="109"/>
      <c r="AO851" s="109"/>
      <c r="AP851" s="109"/>
      <c r="AQ851" s="109"/>
      <c r="AR851" s="109"/>
      <c r="AS851" s="109"/>
      <c r="AT851" s="109"/>
      <c r="AU851" s="109"/>
    </row>
    <row r="852" spans="1:47" ht="14.25" customHeight="1" x14ac:dyDescent="0.3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  <c r="AD852" s="109"/>
      <c r="AE852" s="109"/>
      <c r="AF852" s="109"/>
      <c r="AG852" s="109"/>
      <c r="AH852" s="109"/>
      <c r="AI852" s="109"/>
      <c r="AJ852" s="109"/>
      <c r="AK852" s="109"/>
      <c r="AL852" s="109"/>
      <c r="AM852" s="109"/>
      <c r="AN852" s="109"/>
      <c r="AO852" s="109"/>
      <c r="AP852" s="109"/>
      <c r="AQ852" s="109"/>
      <c r="AR852" s="109"/>
      <c r="AS852" s="109"/>
      <c r="AT852" s="109"/>
      <c r="AU852" s="109"/>
    </row>
    <row r="853" spans="1:47" ht="14.25" customHeight="1" x14ac:dyDescent="0.3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  <c r="AL853" s="109"/>
      <c r="AM853" s="109"/>
      <c r="AN853" s="109"/>
      <c r="AO853" s="109"/>
      <c r="AP853" s="109"/>
      <c r="AQ853" s="109"/>
      <c r="AR853" s="109"/>
      <c r="AS853" s="109"/>
      <c r="AT853" s="109"/>
      <c r="AU853" s="109"/>
    </row>
    <row r="854" spans="1:47" ht="14.25" customHeight="1" x14ac:dyDescent="0.3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  <c r="AD854" s="109"/>
      <c r="AE854" s="109"/>
      <c r="AF854" s="109"/>
      <c r="AG854" s="109"/>
      <c r="AH854" s="109"/>
      <c r="AI854" s="109"/>
      <c r="AJ854" s="109"/>
      <c r="AK854" s="109"/>
      <c r="AL854" s="109"/>
      <c r="AM854" s="109"/>
      <c r="AN854" s="109"/>
      <c r="AO854" s="109"/>
      <c r="AP854" s="109"/>
      <c r="AQ854" s="109"/>
      <c r="AR854" s="109"/>
      <c r="AS854" s="109"/>
      <c r="AT854" s="109"/>
      <c r="AU854" s="109"/>
    </row>
    <row r="855" spans="1:47" ht="14.25" customHeight="1" x14ac:dyDescent="0.3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  <c r="AD855" s="109"/>
      <c r="AE855" s="109"/>
      <c r="AF855" s="109"/>
      <c r="AG855" s="109"/>
      <c r="AH855" s="109"/>
      <c r="AI855" s="109"/>
      <c r="AJ855" s="109"/>
      <c r="AK855" s="109"/>
      <c r="AL855" s="109"/>
      <c r="AM855" s="109"/>
      <c r="AN855" s="109"/>
      <c r="AO855" s="109"/>
      <c r="AP855" s="109"/>
      <c r="AQ855" s="109"/>
      <c r="AR855" s="109"/>
      <c r="AS855" s="109"/>
      <c r="AT855" s="109"/>
      <c r="AU855" s="109"/>
    </row>
    <row r="856" spans="1:47" ht="14.25" customHeight="1" x14ac:dyDescent="0.3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  <c r="AD856" s="109"/>
      <c r="AE856" s="109"/>
      <c r="AF856" s="109"/>
      <c r="AG856" s="109"/>
      <c r="AH856" s="109"/>
      <c r="AI856" s="109"/>
      <c r="AJ856" s="109"/>
      <c r="AK856" s="109"/>
      <c r="AL856" s="109"/>
      <c r="AM856" s="109"/>
      <c r="AN856" s="109"/>
      <c r="AO856" s="109"/>
      <c r="AP856" s="109"/>
      <c r="AQ856" s="109"/>
      <c r="AR856" s="109"/>
      <c r="AS856" s="109"/>
      <c r="AT856" s="109"/>
      <c r="AU856" s="109"/>
    </row>
    <row r="857" spans="1:47" ht="14.25" customHeight="1" x14ac:dyDescent="0.3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  <c r="AD857" s="109"/>
      <c r="AE857" s="109"/>
      <c r="AF857" s="109"/>
      <c r="AG857" s="109"/>
      <c r="AH857" s="109"/>
      <c r="AI857" s="109"/>
      <c r="AJ857" s="109"/>
      <c r="AK857" s="109"/>
      <c r="AL857" s="109"/>
      <c r="AM857" s="109"/>
      <c r="AN857" s="109"/>
      <c r="AO857" s="109"/>
      <c r="AP857" s="109"/>
      <c r="AQ857" s="109"/>
      <c r="AR857" s="109"/>
      <c r="AS857" s="109"/>
      <c r="AT857" s="109"/>
      <c r="AU857" s="109"/>
    </row>
    <row r="858" spans="1:47" ht="14.25" customHeight="1" x14ac:dyDescent="0.3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  <c r="AD858" s="109"/>
      <c r="AE858" s="109"/>
      <c r="AF858" s="109"/>
      <c r="AG858" s="109"/>
      <c r="AH858" s="109"/>
      <c r="AI858" s="109"/>
      <c r="AJ858" s="109"/>
      <c r="AK858" s="109"/>
      <c r="AL858" s="109"/>
      <c r="AM858" s="109"/>
      <c r="AN858" s="109"/>
      <c r="AO858" s="109"/>
      <c r="AP858" s="109"/>
      <c r="AQ858" s="109"/>
      <c r="AR858" s="109"/>
      <c r="AS858" s="109"/>
      <c r="AT858" s="109"/>
      <c r="AU858" s="109"/>
    </row>
    <row r="859" spans="1:47" ht="14.25" customHeight="1" x14ac:dyDescent="0.3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  <c r="AD859" s="109"/>
      <c r="AE859" s="109"/>
      <c r="AF859" s="109"/>
      <c r="AG859" s="109"/>
      <c r="AH859" s="109"/>
      <c r="AI859" s="109"/>
      <c r="AJ859" s="109"/>
      <c r="AK859" s="109"/>
      <c r="AL859" s="109"/>
      <c r="AM859" s="109"/>
      <c r="AN859" s="109"/>
      <c r="AO859" s="109"/>
      <c r="AP859" s="109"/>
      <c r="AQ859" s="109"/>
      <c r="AR859" s="109"/>
      <c r="AS859" s="109"/>
      <c r="AT859" s="109"/>
      <c r="AU859" s="109"/>
    </row>
    <row r="860" spans="1:47" ht="14.25" customHeight="1" x14ac:dyDescent="0.3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  <c r="AL860" s="109"/>
      <c r="AM860" s="109"/>
      <c r="AN860" s="109"/>
      <c r="AO860" s="109"/>
      <c r="AP860" s="109"/>
      <c r="AQ860" s="109"/>
      <c r="AR860" s="109"/>
      <c r="AS860" s="109"/>
      <c r="AT860" s="109"/>
      <c r="AU860" s="109"/>
    </row>
    <row r="861" spans="1:47" ht="14.25" customHeight="1" x14ac:dyDescent="0.3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  <c r="AL861" s="109"/>
      <c r="AM861" s="109"/>
      <c r="AN861" s="109"/>
      <c r="AO861" s="109"/>
      <c r="AP861" s="109"/>
      <c r="AQ861" s="109"/>
      <c r="AR861" s="109"/>
      <c r="AS861" s="109"/>
      <c r="AT861" s="109"/>
      <c r="AU861" s="109"/>
    </row>
    <row r="862" spans="1:47" ht="14.25" customHeight="1" x14ac:dyDescent="0.3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109"/>
      <c r="AI862" s="109"/>
      <c r="AJ862" s="109"/>
      <c r="AK862" s="109"/>
      <c r="AL862" s="109"/>
      <c r="AM862" s="109"/>
      <c r="AN862" s="109"/>
      <c r="AO862" s="109"/>
      <c r="AP862" s="109"/>
      <c r="AQ862" s="109"/>
      <c r="AR862" s="109"/>
      <c r="AS862" s="109"/>
      <c r="AT862" s="109"/>
      <c r="AU862" s="109"/>
    </row>
    <row r="863" spans="1:47" ht="14.25" customHeight="1" x14ac:dyDescent="0.3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  <c r="AL863" s="109"/>
      <c r="AM863" s="109"/>
      <c r="AN863" s="109"/>
      <c r="AO863" s="109"/>
      <c r="AP863" s="109"/>
      <c r="AQ863" s="109"/>
      <c r="AR863" s="109"/>
      <c r="AS863" s="109"/>
      <c r="AT863" s="109"/>
      <c r="AU863" s="109"/>
    </row>
    <row r="864" spans="1:47" ht="14.25" customHeight="1" x14ac:dyDescent="0.3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  <c r="AL864" s="109"/>
      <c r="AM864" s="109"/>
      <c r="AN864" s="109"/>
      <c r="AO864" s="109"/>
      <c r="AP864" s="109"/>
      <c r="AQ864" s="109"/>
      <c r="AR864" s="109"/>
      <c r="AS864" s="109"/>
      <c r="AT864" s="109"/>
      <c r="AU864" s="109"/>
    </row>
    <row r="865" spans="1:47" ht="14.25" customHeight="1" x14ac:dyDescent="0.3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  <c r="AD865" s="109"/>
      <c r="AE865" s="109"/>
      <c r="AF865" s="109"/>
      <c r="AG865" s="109"/>
      <c r="AH865" s="109"/>
      <c r="AI865" s="109"/>
      <c r="AJ865" s="109"/>
      <c r="AK865" s="109"/>
      <c r="AL865" s="109"/>
      <c r="AM865" s="109"/>
      <c r="AN865" s="109"/>
      <c r="AO865" s="109"/>
      <c r="AP865" s="109"/>
      <c r="AQ865" s="109"/>
      <c r="AR865" s="109"/>
      <c r="AS865" s="109"/>
      <c r="AT865" s="109"/>
      <c r="AU865" s="109"/>
    </row>
    <row r="866" spans="1:47" ht="14.25" customHeight="1" x14ac:dyDescent="0.3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  <c r="AL866" s="109"/>
      <c r="AM866" s="109"/>
      <c r="AN866" s="109"/>
      <c r="AO866" s="109"/>
      <c r="AP866" s="109"/>
      <c r="AQ866" s="109"/>
      <c r="AR866" s="109"/>
      <c r="AS866" s="109"/>
      <c r="AT866" s="109"/>
      <c r="AU866" s="109"/>
    </row>
    <row r="867" spans="1:47" ht="14.25" customHeight="1" x14ac:dyDescent="0.3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  <c r="AD867" s="109"/>
      <c r="AE867" s="109"/>
      <c r="AF867" s="109"/>
      <c r="AG867" s="109"/>
      <c r="AH867" s="109"/>
      <c r="AI867" s="109"/>
      <c r="AJ867" s="109"/>
      <c r="AK867" s="109"/>
      <c r="AL867" s="109"/>
      <c r="AM867" s="109"/>
      <c r="AN867" s="109"/>
      <c r="AO867" s="109"/>
      <c r="AP867" s="109"/>
      <c r="AQ867" s="109"/>
      <c r="AR867" s="109"/>
      <c r="AS867" s="109"/>
      <c r="AT867" s="109"/>
      <c r="AU867" s="109"/>
    </row>
    <row r="868" spans="1:47" ht="14.25" customHeight="1" x14ac:dyDescent="0.3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  <c r="AL868" s="109"/>
      <c r="AM868" s="109"/>
      <c r="AN868" s="109"/>
      <c r="AO868" s="109"/>
      <c r="AP868" s="109"/>
      <c r="AQ868" s="109"/>
      <c r="AR868" s="109"/>
      <c r="AS868" s="109"/>
      <c r="AT868" s="109"/>
      <c r="AU868" s="109"/>
    </row>
    <row r="869" spans="1:47" ht="14.25" customHeight="1" x14ac:dyDescent="0.3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  <c r="AD869" s="109"/>
      <c r="AE869" s="109"/>
      <c r="AF869" s="109"/>
      <c r="AG869" s="109"/>
      <c r="AH869" s="109"/>
      <c r="AI869" s="109"/>
      <c r="AJ869" s="109"/>
      <c r="AK869" s="109"/>
      <c r="AL869" s="109"/>
      <c r="AM869" s="109"/>
      <c r="AN869" s="109"/>
      <c r="AO869" s="109"/>
      <c r="AP869" s="109"/>
      <c r="AQ869" s="109"/>
      <c r="AR869" s="109"/>
      <c r="AS869" s="109"/>
      <c r="AT869" s="109"/>
      <c r="AU869" s="109"/>
    </row>
    <row r="870" spans="1:47" ht="14.25" customHeight="1" x14ac:dyDescent="0.3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  <c r="AD870" s="109"/>
      <c r="AE870" s="109"/>
      <c r="AF870" s="109"/>
      <c r="AG870" s="109"/>
      <c r="AH870" s="109"/>
      <c r="AI870" s="109"/>
      <c r="AJ870" s="109"/>
      <c r="AK870" s="109"/>
      <c r="AL870" s="109"/>
      <c r="AM870" s="109"/>
      <c r="AN870" s="109"/>
      <c r="AO870" s="109"/>
      <c r="AP870" s="109"/>
      <c r="AQ870" s="109"/>
      <c r="AR870" s="109"/>
      <c r="AS870" s="109"/>
      <c r="AT870" s="109"/>
      <c r="AU870" s="109"/>
    </row>
    <row r="871" spans="1:47" ht="14.25" customHeight="1" x14ac:dyDescent="0.3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  <c r="AD871" s="109"/>
      <c r="AE871" s="109"/>
      <c r="AF871" s="109"/>
      <c r="AG871" s="109"/>
      <c r="AH871" s="109"/>
      <c r="AI871" s="109"/>
      <c r="AJ871" s="109"/>
      <c r="AK871" s="109"/>
      <c r="AL871" s="109"/>
      <c r="AM871" s="109"/>
      <c r="AN871" s="109"/>
      <c r="AO871" s="109"/>
      <c r="AP871" s="109"/>
      <c r="AQ871" s="109"/>
      <c r="AR871" s="109"/>
      <c r="AS871" s="109"/>
      <c r="AT871" s="109"/>
      <c r="AU871" s="109"/>
    </row>
    <row r="872" spans="1:47" ht="14.25" customHeight="1" x14ac:dyDescent="0.3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  <c r="AL872" s="109"/>
      <c r="AM872" s="109"/>
      <c r="AN872" s="109"/>
      <c r="AO872" s="109"/>
      <c r="AP872" s="109"/>
      <c r="AQ872" s="109"/>
      <c r="AR872" s="109"/>
      <c r="AS872" s="109"/>
      <c r="AT872" s="109"/>
      <c r="AU872" s="109"/>
    </row>
    <row r="873" spans="1:47" ht="14.25" customHeight="1" x14ac:dyDescent="0.3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  <c r="AL873" s="109"/>
      <c r="AM873" s="109"/>
      <c r="AN873" s="109"/>
      <c r="AO873" s="109"/>
      <c r="AP873" s="109"/>
      <c r="AQ873" s="109"/>
      <c r="AR873" s="109"/>
      <c r="AS873" s="109"/>
      <c r="AT873" s="109"/>
      <c r="AU873" s="109"/>
    </row>
    <row r="874" spans="1:47" ht="14.25" customHeight="1" x14ac:dyDescent="0.3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  <c r="AD874" s="109"/>
      <c r="AE874" s="109"/>
      <c r="AF874" s="109"/>
      <c r="AG874" s="109"/>
      <c r="AH874" s="109"/>
      <c r="AI874" s="109"/>
      <c r="AJ874" s="109"/>
      <c r="AK874" s="109"/>
      <c r="AL874" s="109"/>
      <c r="AM874" s="109"/>
      <c r="AN874" s="109"/>
      <c r="AO874" s="109"/>
      <c r="AP874" s="109"/>
      <c r="AQ874" s="109"/>
      <c r="AR874" s="109"/>
      <c r="AS874" s="109"/>
      <c r="AT874" s="109"/>
      <c r="AU874" s="109"/>
    </row>
    <row r="875" spans="1:47" ht="14.25" customHeight="1" x14ac:dyDescent="0.3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  <c r="AD875" s="109"/>
      <c r="AE875" s="109"/>
      <c r="AF875" s="109"/>
      <c r="AG875" s="109"/>
      <c r="AH875" s="109"/>
      <c r="AI875" s="109"/>
      <c r="AJ875" s="109"/>
      <c r="AK875" s="109"/>
      <c r="AL875" s="109"/>
      <c r="AM875" s="109"/>
      <c r="AN875" s="109"/>
      <c r="AO875" s="109"/>
      <c r="AP875" s="109"/>
      <c r="AQ875" s="109"/>
      <c r="AR875" s="109"/>
      <c r="AS875" s="109"/>
      <c r="AT875" s="109"/>
      <c r="AU875" s="109"/>
    </row>
    <row r="876" spans="1:47" ht="14.25" customHeight="1" x14ac:dyDescent="0.3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  <c r="AD876" s="109"/>
      <c r="AE876" s="109"/>
      <c r="AF876" s="109"/>
      <c r="AG876" s="109"/>
      <c r="AH876" s="109"/>
      <c r="AI876" s="109"/>
      <c r="AJ876" s="109"/>
      <c r="AK876" s="109"/>
      <c r="AL876" s="109"/>
      <c r="AM876" s="109"/>
      <c r="AN876" s="109"/>
      <c r="AO876" s="109"/>
      <c r="AP876" s="109"/>
      <c r="AQ876" s="109"/>
      <c r="AR876" s="109"/>
      <c r="AS876" s="109"/>
      <c r="AT876" s="109"/>
      <c r="AU876" s="109"/>
    </row>
    <row r="877" spans="1:47" ht="14.25" customHeight="1" x14ac:dyDescent="0.3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  <c r="AD877" s="109"/>
      <c r="AE877" s="109"/>
      <c r="AF877" s="109"/>
      <c r="AG877" s="109"/>
      <c r="AH877" s="109"/>
      <c r="AI877" s="109"/>
      <c r="AJ877" s="109"/>
      <c r="AK877" s="109"/>
      <c r="AL877" s="109"/>
      <c r="AM877" s="109"/>
      <c r="AN877" s="109"/>
      <c r="AO877" s="109"/>
      <c r="AP877" s="109"/>
      <c r="AQ877" s="109"/>
      <c r="AR877" s="109"/>
      <c r="AS877" s="109"/>
      <c r="AT877" s="109"/>
      <c r="AU877" s="109"/>
    </row>
    <row r="878" spans="1:47" ht="14.25" customHeight="1" x14ac:dyDescent="0.3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  <c r="AD878" s="109"/>
      <c r="AE878" s="109"/>
      <c r="AF878" s="109"/>
      <c r="AG878" s="109"/>
      <c r="AH878" s="109"/>
      <c r="AI878" s="109"/>
      <c r="AJ878" s="109"/>
      <c r="AK878" s="109"/>
      <c r="AL878" s="109"/>
      <c r="AM878" s="109"/>
      <c r="AN878" s="109"/>
      <c r="AO878" s="109"/>
      <c r="AP878" s="109"/>
      <c r="AQ878" s="109"/>
      <c r="AR878" s="109"/>
      <c r="AS878" s="109"/>
      <c r="AT878" s="109"/>
      <c r="AU878" s="109"/>
    </row>
    <row r="879" spans="1:47" ht="14.25" customHeight="1" x14ac:dyDescent="0.3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  <c r="AD879" s="109"/>
      <c r="AE879" s="109"/>
      <c r="AF879" s="109"/>
      <c r="AG879" s="109"/>
      <c r="AH879" s="109"/>
      <c r="AI879" s="109"/>
      <c r="AJ879" s="109"/>
      <c r="AK879" s="109"/>
      <c r="AL879" s="109"/>
      <c r="AM879" s="109"/>
      <c r="AN879" s="109"/>
      <c r="AO879" s="109"/>
      <c r="AP879" s="109"/>
      <c r="AQ879" s="109"/>
      <c r="AR879" s="109"/>
      <c r="AS879" s="109"/>
      <c r="AT879" s="109"/>
      <c r="AU879" s="109"/>
    </row>
    <row r="880" spans="1:47" ht="14.25" customHeight="1" x14ac:dyDescent="0.3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  <c r="AD880" s="109"/>
      <c r="AE880" s="109"/>
      <c r="AF880" s="109"/>
      <c r="AG880" s="109"/>
      <c r="AH880" s="109"/>
      <c r="AI880" s="109"/>
      <c r="AJ880" s="109"/>
      <c r="AK880" s="109"/>
      <c r="AL880" s="109"/>
      <c r="AM880" s="109"/>
      <c r="AN880" s="109"/>
      <c r="AO880" s="109"/>
      <c r="AP880" s="109"/>
      <c r="AQ880" s="109"/>
      <c r="AR880" s="109"/>
      <c r="AS880" s="109"/>
      <c r="AT880" s="109"/>
      <c r="AU880" s="109"/>
    </row>
    <row r="881" spans="1:47" ht="14.25" customHeight="1" x14ac:dyDescent="0.3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  <c r="AD881" s="109"/>
      <c r="AE881" s="109"/>
      <c r="AF881" s="109"/>
      <c r="AG881" s="109"/>
      <c r="AH881" s="109"/>
      <c r="AI881" s="109"/>
      <c r="AJ881" s="109"/>
      <c r="AK881" s="109"/>
      <c r="AL881" s="109"/>
      <c r="AM881" s="109"/>
      <c r="AN881" s="109"/>
      <c r="AO881" s="109"/>
      <c r="AP881" s="109"/>
      <c r="AQ881" s="109"/>
      <c r="AR881" s="109"/>
      <c r="AS881" s="109"/>
      <c r="AT881" s="109"/>
      <c r="AU881" s="109"/>
    </row>
    <row r="882" spans="1:47" ht="14.25" customHeight="1" x14ac:dyDescent="0.3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  <c r="AD882" s="109"/>
      <c r="AE882" s="109"/>
      <c r="AF882" s="109"/>
      <c r="AG882" s="109"/>
      <c r="AH882" s="109"/>
      <c r="AI882" s="109"/>
      <c r="AJ882" s="109"/>
      <c r="AK882" s="109"/>
      <c r="AL882" s="109"/>
      <c r="AM882" s="109"/>
      <c r="AN882" s="109"/>
      <c r="AO882" s="109"/>
      <c r="AP882" s="109"/>
      <c r="AQ882" s="109"/>
      <c r="AR882" s="109"/>
      <c r="AS882" s="109"/>
      <c r="AT882" s="109"/>
      <c r="AU882" s="109"/>
    </row>
    <row r="883" spans="1:47" ht="14.25" customHeight="1" x14ac:dyDescent="0.3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  <c r="AL883" s="109"/>
      <c r="AM883" s="109"/>
      <c r="AN883" s="109"/>
      <c r="AO883" s="109"/>
      <c r="AP883" s="109"/>
      <c r="AQ883" s="109"/>
      <c r="AR883" s="109"/>
      <c r="AS883" s="109"/>
      <c r="AT883" s="109"/>
      <c r="AU883" s="109"/>
    </row>
    <row r="884" spans="1:47" ht="14.25" customHeight="1" x14ac:dyDescent="0.3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  <c r="AL884" s="109"/>
      <c r="AM884" s="109"/>
      <c r="AN884" s="109"/>
      <c r="AO884" s="109"/>
      <c r="AP884" s="109"/>
      <c r="AQ884" s="109"/>
      <c r="AR884" s="109"/>
      <c r="AS884" s="109"/>
      <c r="AT884" s="109"/>
      <c r="AU884" s="109"/>
    </row>
    <row r="885" spans="1:47" ht="14.25" customHeight="1" x14ac:dyDescent="0.3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  <c r="AL885" s="109"/>
      <c r="AM885" s="109"/>
      <c r="AN885" s="109"/>
      <c r="AO885" s="109"/>
      <c r="AP885" s="109"/>
      <c r="AQ885" s="109"/>
      <c r="AR885" s="109"/>
      <c r="AS885" s="109"/>
      <c r="AT885" s="109"/>
      <c r="AU885" s="109"/>
    </row>
    <row r="886" spans="1:47" ht="14.25" customHeight="1" x14ac:dyDescent="0.3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  <c r="AL886" s="109"/>
      <c r="AM886" s="109"/>
      <c r="AN886" s="109"/>
      <c r="AO886" s="109"/>
      <c r="AP886" s="109"/>
      <c r="AQ886" s="109"/>
      <c r="AR886" s="109"/>
      <c r="AS886" s="109"/>
      <c r="AT886" s="109"/>
      <c r="AU886" s="109"/>
    </row>
    <row r="887" spans="1:47" ht="14.25" customHeight="1" x14ac:dyDescent="0.3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  <c r="AL887" s="109"/>
      <c r="AM887" s="109"/>
      <c r="AN887" s="109"/>
      <c r="AO887" s="109"/>
      <c r="AP887" s="109"/>
      <c r="AQ887" s="109"/>
      <c r="AR887" s="109"/>
      <c r="AS887" s="109"/>
      <c r="AT887" s="109"/>
      <c r="AU887" s="109"/>
    </row>
    <row r="888" spans="1:47" ht="14.25" customHeight="1" x14ac:dyDescent="0.3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  <c r="AL888" s="109"/>
      <c r="AM888" s="109"/>
      <c r="AN888" s="109"/>
      <c r="AO888" s="109"/>
      <c r="AP888" s="109"/>
      <c r="AQ888" s="109"/>
      <c r="AR888" s="109"/>
      <c r="AS888" s="109"/>
      <c r="AT888" s="109"/>
      <c r="AU888" s="109"/>
    </row>
    <row r="889" spans="1:47" ht="14.25" customHeight="1" x14ac:dyDescent="0.3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  <c r="AL889" s="109"/>
      <c r="AM889" s="109"/>
      <c r="AN889" s="109"/>
      <c r="AO889" s="109"/>
      <c r="AP889" s="109"/>
      <c r="AQ889" s="109"/>
      <c r="AR889" s="109"/>
      <c r="AS889" s="109"/>
      <c r="AT889" s="109"/>
      <c r="AU889" s="109"/>
    </row>
    <row r="890" spans="1:47" ht="14.25" customHeight="1" x14ac:dyDescent="0.3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  <c r="AD890" s="109"/>
      <c r="AE890" s="109"/>
      <c r="AF890" s="109"/>
      <c r="AG890" s="109"/>
      <c r="AH890" s="109"/>
      <c r="AI890" s="109"/>
      <c r="AJ890" s="109"/>
      <c r="AK890" s="109"/>
      <c r="AL890" s="109"/>
      <c r="AM890" s="109"/>
      <c r="AN890" s="109"/>
      <c r="AO890" s="109"/>
      <c r="AP890" s="109"/>
      <c r="AQ890" s="109"/>
      <c r="AR890" s="109"/>
      <c r="AS890" s="109"/>
      <c r="AT890" s="109"/>
      <c r="AU890" s="109"/>
    </row>
    <row r="891" spans="1:47" ht="14.25" customHeight="1" x14ac:dyDescent="0.3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  <c r="AD891" s="109"/>
      <c r="AE891" s="109"/>
      <c r="AF891" s="109"/>
      <c r="AG891" s="109"/>
      <c r="AH891" s="109"/>
      <c r="AI891" s="109"/>
      <c r="AJ891" s="109"/>
      <c r="AK891" s="109"/>
      <c r="AL891" s="109"/>
      <c r="AM891" s="109"/>
      <c r="AN891" s="109"/>
      <c r="AO891" s="109"/>
      <c r="AP891" s="109"/>
      <c r="AQ891" s="109"/>
      <c r="AR891" s="109"/>
      <c r="AS891" s="109"/>
      <c r="AT891" s="109"/>
      <c r="AU891" s="109"/>
    </row>
    <row r="892" spans="1:47" ht="14.25" customHeight="1" x14ac:dyDescent="0.3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  <c r="AD892" s="109"/>
      <c r="AE892" s="109"/>
      <c r="AF892" s="109"/>
      <c r="AG892" s="109"/>
      <c r="AH892" s="109"/>
      <c r="AI892" s="109"/>
      <c r="AJ892" s="109"/>
      <c r="AK892" s="109"/>
      <c r="AL892" s="109"/>
      <c r="AM892" s="109"/>
      <c r="AN892" s="109"/>
      <c r="AO892" s="109"/>
      <c r="AP892" s="109"/>
      <c r="AQ892" s="109"/>
      <c r="AR892" s="109"/>
      <c r="AS892" s="109"/>
      <c r="AT892" s="109"/>
      <c r="AU892" s="109"/>
    </row>
    <row r="893" spans="1:47" ht="14.25" customHeight="1" x14ac:dyDescent="0.3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  <c r="AD893" s="109"/>
      <c r="AE893" s="109"/>
      <c r="AF893" s="109"/>
      <c r="AG893" s="109"/>
      <c r="AH893" s="109"/>
      <c r="AI893" s="109"/>
      <c r="AJ893" s="109"/>
      <c r="AK893" s="109"/>
      <c r="AL893" s="109"/>
      <c r="AM893" s="109"/>
      <c r="AN893" s="109"/>
      <c r="AO893" s="109"/>
      <c r="AP893" s="109"/>
      <c r="AQ893" s="109"/>
      <c r="AR893" s="109"/>
      <c r="AS893" s="109"/>
      <c r="AT893" s="109"/>
      <c r="AU893" s="109"/>
    </row>
    <row r="894" spans="1:47" ht="14.25" customHeight="1" x14ac:dyDescent="0.3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  <c r="AD894" s="109"/>
      <c r="AE894" s="109"/>
      <c r="AF894" s="109"/>
      <c r="AG894" s="109"/>
      <c r="AH894" s="109"/>
      <c r="AI894" s="109"/>
      <c r="AJ894" s="109"/>
      <c r="AK894" s="109"/>
      <c r="AL894" s="109"/>
      <c r="AM894" s="109"/>
      <c r="AN894" s="109"/>
      <c r="AO894" s="109"/>
      <c r="AP894" s="109"/>
      <c r="AQ894" s="109"/>
      <c r="AR894" s="109"/>
      <c r="AS894" s="109"/>
      <c r="AT894" s="109"/>
      <c r="AU894" s="109"/>
    </row>
    <row r="895" spans="1:47" ht="14.25" customHeight="1" x14ac:dyDescent="0.3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/>
      <c r="AL895" s="109"/>
      <c r="AM895" s="109"/>
      <c r="AN895" s="109"/>
      <c r="AO895" s="109"/>
      <c r="AP895" s="109"/>
      <c r="AQ895" s="109"/>
      <c r="AR895" s="109"/>
      <c r="AS895" s="109"/>
      <c r="AT895" s="109"/>
      <c r="AU895" s="109"/>
    </row>
    <row r="896" spans="1:47" ht="14.25" customHeight="1" x14ac:dyDescent="0.3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  <c r="AL896" s="109"/>
      <c r="AM896" s="109"/>
      <c r="AN896" s="109"/>
      <c r="AO896" s="109"/>
      <c r="AP896" s="109"/>
      <c r="AQ896" s="109"/>
      <c r="AR896" s="109"/>
      <c r="AS896" s="109"/>
      <c r="AT896" s="109"/>
      <c r="AU896" s="109"/>
    </row>
    <row r="897" spans="1:47" ht="14.25" customHeight="1" x14ac:dyDescent="0.3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/>
      <c r="AL897" s="109"/>
      <c r="AM897" s="109"/>
      <c r="AN897" s="109"/>
      <c r="AO897" s="109"/>
      <c r="AP897" s="109"/>
      <c r="AQ897" s="109"/>
      <c r="AR897" s="109"/>
      <c r="AS897" s="109"/>
      <c r="AT897" s="109"/>
      <c r="AU897" s="109"/>
    </row>
    <row r="898" spans="1:47" ht="14.25" customHeight="1" x14ac:dyDescent="0.3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/>
      <c r="AL898" s="109"/>
      <c r="AM898" s="109"/>
      <c r="AN898" s="109"/>
      <c r="AO898" s="109"/>
      <c r="AP898" s="109"/>
      <c r="AQ898" s="109"/>
      <c r="AR898" s="109"/>
      <c r="AS898" s="109"/>
      <c r="AT898" s="109"/>
      <c r="AU898" s="109"/>
    </row>
    <row r="899" spans="1:47" ht="14.25" customHeight="1" x14ac:dyDescent="0.3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/>
      <c r="AL899" s="109"/>
      <c r="AM899" s="109"/>
      <c r="AN899" s="109"/>
      <c r="AO899" s="109"/>
      <c r="AP899" s="109"/>
      <c r="AQ899" s="109"/>
      <c r="AR899" s="109"/>
      <c r="AS899" s="109"/>
      <c r="AT899" s="109"/>
      <c r="AU899" s="109"/>
    </row>
    <row r="900" spans="1:47" ht="14.25" customHeight="1" x14ac:dyDescent="0.3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/>
      <c r="AL900" s="109"/>
      <c r="AM900" s="109"/>
      <c r="AN900" s="109"/>
      <c r="AO900" s="109"/>
      <c r="AP900" s="109"/>
      <c r="AQ900" s="109"/>
      <c r="AR900" s="109"/>
      <c r="AS900" s="109"/>
      <c r="AT900" s="109"/>
      <c r="AU900" s="109"/>
    </row>
    <row r="901" spans="1:47" ht="14.25" customHeight="1" x14ac:dyDescent="0.3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/>
      <c r="AL901" s="109"/>
      <c r="AM901" s="109"/>
      <c r="AN901" s="109"/>
      <c r="AO901" s="109"/>
      <c r="AP901" s="109"/>
      <c r="AQ901" s="109"/>
      <c r="AR901" s="109"/>
      <c r="AS901" s="109"/>
      <c r="AT901" s="109"/>
      <c r="AU901" s="109"/>
    </row>
    <row r="902" spans="1:47" ht="14.25" customHeight="1" x14ac:dyDescent="0.3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09"/>
      <c r="AL902" s="109"/>
      <c r="AM902" s="109"/>
      <c r="AN902" s="109"/>
      <c r="AO902" s="109"/>
      <c r="AP902" s="109"/>
      <c r="AQ902" s="109"/>
      <c r="AR902" s="109"/>
      <c r="AS902" s="109"/>
      <c r="AT902" s="109"/>
      <c r="AU902" s="109"/>
    </row>
    <row r="903" spans="1:47" ht="14.25" customHeight="1" x14ac:dyDescent="0.3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/>
      <c r="AL903" s="109"/>
      <c r="AM903" s="109"/>
      <c r="AN903" s="109"/>
      <c r="AO903" s="109"/>
      <c r="AP903" s="109"/>
      <c r="AQ903" s="109"/>
      <c r="AR903" s="109"/>
      <c r="AS903" s="109"/>
      <c r="AT903" s="109"/>
      <c r="AU903" s="109"/>
    </row>
    <row r="904" spans="1:47" ht="14.25" customHeight="1" x14ac:dyDescent="0.3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109"/>
      <c r="AI904" s="109"/>
      <c r="AJ904" s="109"/>
      <c r="AK904" s="109"/>
      <c r="AL904" s="109"/>
      <c r="AM904" s="109"/>
      <c r="AN904" s="109"/>
      <c r="AO904" s="109"/>
      <c r="AP904" s="109"/>
      <c r="AQ904" s="109"/>
      <c r="AR904" s="109"/>
      <c r="AS904" s="109"/>
      <c r="AT904" s="109"/>
      <c r="AU904" s="109"/>
    </row>
    <row r="905" spans="1:47" ht="14.25" customHeight="1" x14ac:dyDescent="0.3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  <c r="AD905" s="109"/>
      <c r="AE905" s="109"/>
      <c r="AF905" s="109"/>
      <c r="AG905" s="109"/>
      <c r="AH905" s="109"/>
      <c r="AI905" s="109"/>
      <c r="AJ905" s="109"/>
      <c r="AK905" s="109"/>
      <c r="AL905" s="109"/>
      <c r="AM905" s="109"/>
      <c r="AN905" s="109"/>
      <c r="AO905" s="109"/>
      <c r="AP905" s="109"/>
      <c r="AQ905" s="109"/>
      <c r="AR905" s="109"/>
      <c r="AS905" s="109"/>
      <c r="AT905" s="109"/>
      <c r="AU905" s="109"/>
    </row>
    <row r="906" spans="1:47" ht="14.25" customHeight="1" x14ac:dyDescent="0.3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  <c r="AD906" s="109"/>
      <c r="AE906" s="109"/>
      <c r="AF906" s="109"/>
      <c r="AG906" s="109"/>
      <c r="AH906" s="109"/>
      <c r="AI906" s="109"/>
      <c r="AJ906" s="109"/>
      <c r="AK906" s="109"/>
      <c r="AL906" s="109"/>
      <c r="AM906" s="109"/>
      <c r="AN906" s="109"/>
      <c r="AO906" s="109"/>
      <c r="AP906" s="109"/>
      <c r="AQ906" s="109"/>
      <c r="AR906" s="109"/>
      <c r="AS906" s="109"/>
      <c r="AT906" s="109"/>
      <c r="AU906" s="109"/>
    </row>
    <row r="907" spans="1:47" ht="14.25" customHeight="1" x14ac:dyDescent="0.3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  <c r="AD907" s="109"/>
      <c r="AE907" s="109"/>
      <c r="AF907" s="109"/>
      <c r="AG907" s="109"/>
      <c r="AH907" s="109"/>
      <c r="AI907" s="109"/>
      <c r="AJ907" s="109"/>
      <c r="AK907" s="109"/>
      <c r="AL907" s="109"/>
      <c r="AM907" s="109"/>
      <c r="AN907" s="109"/>
      <c r="AO907" s="109"/>
      <c r="AP907" s="109"/>
      <c r="AQ907" s="109"/>
      <c r="AR907" s="109"/>
      <c r="AS907" s="109"/>
      <c r="AT907" s="109"/>
      <c r="AU907" s="109"/>
    </row>
    <row r="908" spans="1:47" ht="14.25" customHeight="1" x14ac:dyDescent="0.3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  <c r="AD908" s="109"/>
      <c r="AE908" s="109"/>
      <c r="AF908" s="109"/>
      <c r="AG908" s="109"/>
      <c r="AH908" s="109"/>
      <c r="AI908" s="109"/>
      <c r="AJ908" s="109"/>
      <c r="AK908" s="109"/>
      <c r="AL908" s="109"/>
      <c r="AM908" s="109"/>
      <c r="AN908" s="109"/>
      <c r="AO908" s="109"/>
      <c r="AP908" s="109"/>
      <c r="AQ908" s="109"/>
      <c r="AR908" s="109"/>
      <c r="AS908" s="109"/>
      <c r="AT908" s="109"/>
      <c r="AU908" s="109"/>
    </row>
    <row r="909" spans="1:47" ht="14.25" customHeight="1" x14ac:dyDescent="0.3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  <c r="AD909" s="109"/>
      <c r="AE909" s="109"/>
      <c r="AF909" s="109"/>
      <c r="AG909" s="109"/>
      <c r="AH909" s="109"/>
      <c r="AI909" s="109"/>
      <c r="AJ909" s="109"/>
      <c r="AK909" s="109"/>
      <c r="AL909" s="109"/>
      <c r="AM909" s="109"/>
      <c r="AN909" s="109"/>
      <c r="AO909" s="109"/>
      <c r="AP909" s="109"/>
      <c r="AQ909" s="109"/>
      <c r="AR909" s="109"/>
      <c r="AS909" s="109"/>
      <c r="AT909" s="109"/>
      <c r="AU909" s="109"/>
    </row>
    <row r="910" spans="1:47" ht="14.25" customHeight="1" x14ac:dyDescent="0.3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  <c r="AD910" s="109"/>
      <c r="AE910" s="109"/>
      <c r="AF910" s="109"/>
      <c r="AG910" s="109"/>
      <c r="AH910" s="109"/>
      <c r="AI910" s="109"/>
      <c r="AJ910" s="109"/>
      <c r="AK910" s="109"/>
      <c r="AL910" s="109"/>
      <c r="AM910" s="109"/>
      <c r="AN910" s="109"/>
      <c r="AO910" s="109"/>
      <c r="AP910" s="109"/>
      <c r="AQ910" s="109"/>
      <c r="AR910" s="109"/>
      <c r="AS910" s="109"/>
      <c r="AT910" s="109"/>
      <c r="AU910" s="109"/>
    </row>
    <row r="911" spans="1:47" ht="14.25" customHeight="1" x14ac:dyDescent="0.3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  <c r="AD911" s="109"/>
      <c r="AE911" s="109"/>
      <c r="AF911" s="109"/>
      <c r="AG911" s="109"/>
      <c r="AH911" s="109"/>
      <c r="AI911" s="109"/>
      <c r="AJ911" s="109"/>
      <c r="AK911" s="109"/>
      <c r="AL911" s="109"/>
      <c r="AM911" s="109"/>
      <c r="AN911" s="109"/>
      <c r="AO911" s="109"/>
      <c r="AP911" s="109"/>
      <c r="AQ911" s="109"/>
      <c r="AR911" s="109"/>
      <c r="AS911" s="109"/>
      <c r="AT911" s="109"/>
      <c r="AU911" s="109"/>
    </row>
    <row r="912" spans="1:47" ht="14.25" customHeight="1" x14ac:dyDescent="0.3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09"/>
      <c r="AG912" s="109"/>
      <c r="AH912" s="109"/>
      <c r="AI912" s="109"/>
      <c r="AJ912" s="109"/>
      <c r="AK912" s="109"/>
      <c r="AL912" s="109"/>
      <c r="AM912" s="109"/>
      <c r="AN912" s="109"/>
      <c r="AO912" s="109"/>
      <c r="AP912" s="109"/>
      <c r="AQ912" s="109"/>
      <c r="AR912" s="109"/>
      <c r="AS912" s="109"/>
      <c r="AT912" s="109"/>
      <c r="AU912" s="109"/>
    </row>
    <row r="913" spans="1:47" ht="14.25" customHeight="1" x14ac:dyDescent="0.3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09"/>
      <c r="AG913" s="109"/>
      <c r="AH913" s="109"/>
      <c r="AI913" s="109"/>
      <c r="AJ913" s="109"/>
      <c r="AK913" s="109"/>
      <c r="AL913" s="109"/>
      <c r="AM913" s="109"/>
      <c r="AN913" s="109"/>
      <c r="AO913" s="109"/>
      <c r="AP913" s="109"/>
      <c r="AQ913" s="109"/>
      <c r="AR913" s="109"/>
      <c r="AS913" s="109"/>
      <c r="AT913" s="109"/>
      <c r="AU913" s="109"/>
    </row>
    <row r="914" spans="1:47" ht="14.25" customHeight="1" x14ac:dyDescent="0.3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  <c r="AL914" s="109"/>
      <c r="AM914" s="109"/>
      <c r="AN914" s="109"/>
      <c r="AO914" s="109"/>
      <c r="AP914" s="109"/>
      <c r="AQ914" s="109"/>
      <c r="AR914" s="109"/>
      <c r="AS914" s="109"/>
      <c r="AT914" s="109"/>
      <c r="AU914" s="109"/>
    </row>
    <row r="915" spans="1:47" ht="14.25" customHeight="1" x14ac:dyDescent="0.3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09"/>
      <c r="AG915" s="109"/>
      <c r="AH915" s="109"/>
      <c r="AI915" s="109"/>
      <c r="AJ915" s="109"/>
      <c r="AK915" s="109"/>
      <c r="AL915" s="109"/>
      <c r="AM915" s="109"/>
      <c r="AN915" s="109"/>
      <c r="AO915" s="109"/>
      <c r="AP915" s="109"/>
      <c r="AQ915" s="109"/>
      <c r="AR915" s="109"/>
      <c r="AS915" s="109"/>
      <c r="AT915" s="109"/>
      <c r="AU915" s="109"/>
    </row>
    <row r="916" spans="1:47" ht="14.25" customHeight="1" x14ac:dyDescent="0.3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09"/>
      <c r="AG916" s="109"/>
      <c r="AH916" s="109"/>
      <c r="AI916" s="109"/>
      <c r="AJ916" s="109"/>
      <c r="AK916" s="109"/>
      <c r="AL916" s="109"/>
      <c r="AM916" s="109"/>
      <c r="AN916" s="109"/>
      <c r="AO916" s="109"/>
      <c r="AP916" s="109"/>
      <c r="AQ916" s="109"/>
      <c r="AR916" s="109"/>
      <c r="AS916" s="109"/>
      <c r="AT916" s="109"/>
      <c r="AU916" s="109"/>
    </row>
    <row r="917" spans="1:47" ht="14.25" customHeight="1" x14ac:dyDescent="0.3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09"/>
      <c r="AG917" s="109"/>
      <c r="AH917" s="109"/>
      <c r="AI917" s="109"/>
      <c r="AJ917" s="109"/>
      <c r="AK917" s="109"/>
      <c r="AL917" s="109"/>
      <c r="AM917" s="109"/>
      <c r="AN917" s="109"/>
      <c r="AO917" s="109"/>
      <c r="AP917" s="109"/>
      <c r="AQ917" s="109"/>
      <c r="AR917" s="109"/>
      <c r="AS917" s="109"/>
      <c r="AT917" s="109"/>
      <c r="AU917" s="109"/>
    </row>
    <row r="918" spans="1:47" ht="14.25" customHeight="1" x14ac:dyDescent="0.3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  <c r="AD918" s="109"/>
      <c r="AE918" s="109"/>
      <c r="AF918" s="109"/>
      <c r="AG918" s="109"/>
      <c r="AH918" s="109"/>
      <c r="AI918" s="109"/>
      <c r="AJ918" s="109"/>
      <c r="AK918" s="109"/>
      <c r="AL918" s="109"/>
      <c r="AM918" s="109"/>
      <c r="AN918" s="109"/>
      <c r="AO918" s="109"/>
      <c r="AP918" s="109"/>
      <c r="AQ918" s="109"/>
      <c r="AR918" s="109"/>
      <c r="AS918" s="109"/>
      <c r="AT918" s="109"/>
      <c r="AU918" s="109"/>
    </row>
    <row r="919" spans="1:47" ht="14.25" customHeight="1" x14ac:dyDescent="0.3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09"/>
      <c r="AG919" s="109"/>
      <c r="AH919" s="109"/>
      <c r="AI919" s="109"/>
      <c r="AJ919" s="109"/>
      <c r="AK919" s="109"/>
      <c r="AL919" s="109"/>
      <c r="AM919" s="109"/>
      <c r="AN919" s="109"/>
      <c r="AO919" s="109"/>
      <c r="AP919" s="109"/>
      <c r="AQ919" s="109"/>
      <c r="AR919" s="109"/>
      <c r="AS919" s="109"/>
      <c r="AT919" s="109"/>
      <c r="AU919" s="109"/>
    </row>
    <row r="920" spans="1:47" ht="14.25" customHeight="1" x14ac:dyDescent="0.3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09"/>
      <c r="AG920" s="109"/>
      <c r="AH920" s="109"/>
      <c r="AI920" s="109"/>
      <c r="AJ920" s="109"/>
      <c r="AK920" s="109"/>
      <c r="AL920" s="109"/>
      <c r="AM920" s="109"/>
      <c r="AN920" s="109"/>
      <c r="AO920" s="109"/>
      <c r="AP920" s="109"/>
      <c r="AQ920" s="109"/>
      <c r="AR920" s="109"/>
      <c r="AS920" s="109"/>
      <c r="AT920" s="109"/>
      <c r="AU920" s="109"/>
    </row>
    <row r="921" spans="1:47" ht="14.25" customHeight="1" x14ac:dyDescent="0.3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/>
      <c r="AL921" s="109"/>
      <c r="AM921" s="109"/>
      <c r="AN921" s="109"/>
      <c r="AO921" s="109"/>
      <c r="AP921" s="109"/>
      <c r="AQ921" s="109"/>
      <c r="AR921" s="109"/>
      <c r="AS921" s="109"/>
      <c r="AT921" s="109"/>
      <c r="AU921" s="109"/>
    </row>
    <row r="922" spans="1:47" ht="14.25" customHeight="1" x14ac:dyDescent="0.3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09"/>
      <c r="AG922" s="109"/>
      <c r="AH922" s="109"/>
      <c r="AI922" s="109"/>
      <c r="AJ922" s="109"/>
      <c r="AK922" s="109"/>
      <c r="AL922" s="109"/>
      <c r="AM922" s="109"/>
      <c r="AN922" s="109"/>
      <c r="AO922" s="109"/>
      <c r="AP922" s="109"/>
      <c r="AQ922" s="109"/>
      <c r="AR922" s="109"/>
      <c r="AS922" s="109"/>
      <c r="AT922" s="109"/>
      <c r="AU922" s="109"/>
    </row>
    <row r="923" spans="1:47" ht="14.25" customHeight="1" x14ac:dyDescent="0.3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09"/>
      <c r="AL923" s="109"/>
      <c r="AM923" s="109"/>
      <c r="AN923" s="109"/>
      <c r="AO923" s="109"/>
      <c r="AP923" s="109"/>
      <c r="AQ923" s="109"/>
      <c r="AR923" s="109"/>
      <c r="AS923" s="109"/>
      <c r="AT923" s="109"/>
      <c r="AU923" s="109"/>
    </row>
    <row r="924" spans="1:47" ht="14.25" customHeight="1" x14ac:dyDescent="0.3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09"/>
      <c r="AG924" s="109"/>
      <c r="AH924" s="109"/>
      <c r="AI924" s="109"/>
      <c r="AJ924" s="109"/>
      <c r="AK924" s="109"/>
      <c r="AL924" s="109"/>
      <c r="AM924" s="109"/>
      <c r="AN924" s="109"/>
      <c r="AO924" s="109"/>
      <c r="AP924" s="109"/>
      <c r="AQ924" s="109"/>
      <c r="AR924" s="109"/>
      <c r="AS924" s="109"/>
      <c r="AT924" s="109"/>
      <c r="AU924" s="109"/>
    </row>
    <row r="925" spans="1:47" ht="14.25" customHeight="1" x14ac:dyDescent="0.3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09"/>
      <c r="AG925" s="109"/>
      <c r="AH925" s="109"/>
      <c r="AI925" s="109"/>
      <c r="AJ925" s="109"/>
      <c r="AK925" s="109"/>
      <c r="AL925" s="109"/>
      <c r="AM925" s="109"/>
      <c r="AN925" s="109"/>
      <c r="AO925" s="109"/>
      <c r="AP925" s="109"/>
      <c r="AQ925" s="109"/>
      <c r="AR925" s="109"/>
      <c r="AS925" s="109"/>
      <c r="AT925" s="109"/>
      <c r="AU925" s="109"/>
    </row>
    <row r="926" spans="1:47" ht="14.25" customHeight="1" x14ac:dyDescent="0.3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09"/>
      <c r="AG926" s="109"/>
      <c r="AH926" s="109"/>
      <c r="AI926" s="109"/>
      <c r="AJ926" s="109"/>
      <c r="AK926" s="109"/>
      <c r="AL926" s="109"/>
      <c r="AM926" s="109"/>
      <c r="AN926" s="109"/>
      <c r="AO926" s="109"/>
      <c r="AP926" s="109"/>
      <c r="AQ926" s="109"/>
      <c r="AR926" s="109"/>
      <c r="AS926" s="109"/>
      <c r="AT926" s="109"/>
      <c r="AU926" s="109"/>
    </row>
    <row r="927" spans="1:47" ht="14.25" customHeight="1" x14ac:dyDescent="0.3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09"/>
      <c r="AG927" s="109"/>
      <c r="AH927" s="109"/>
      <c r="AI927" s="109"/>
      <c r="AJ927" s="109"/>
      <c r="AK927" s="109"/>
      <c r="AL927" s="109"/>
      <c r="AM927" s="109"/>
      <c r="AN927" s="109"/>
      <c r="AO927" s="109"/>
      <c r="AP927" s="109"/>
      <c r="AQ927" s="109"/>
      <c r="AR927" s="109"/>
      <c r="AS927" s="109"/>
      <c r="AT927" s="109"/>
      <c r="AU927" s="109"/>
    </row>
    <row r="928" spans="1:47" ht="14.25" customHeight="1" x14ac:dyDescent="0.3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09"/>
      <c r="AG928" s="109"/>
      <c r="AH928" s="109"/>
      <c r="AI928" s="109"/>
      <c r="AJ928" s="109"/>
      <c r="AK928" s="109"/>
      <c r="AL928" s="109"/>
      <c r="AM928" s="109"/>
      <c r="AN928" s="109"/>
      <c r="AO928" s="109"/>
      <c r="AP928" s="109"/>
      <c r="AQ928" s="109"/>
      <c r="AR928" s="109"/>
      <c r="AS928" s="109"/>
      <c r="AT928" s="109"/>
      <c r="AU928" s="109"/>
    </row>
    <row r="929" spans="1:47" ht="14.25" customHeight="1" x14ac:dyDescent="0.3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09"/>
      <c r="AG929" s="109"/>
      <c r="AH929" s="109"/>
      <c r="AI929" s="109"/>
      <c r="AJ929" s="109"/>
      <c r="AK929" s="109"/>
      <c r="AL929" s="109"/>
      <c r="AM929" s="109"/>
      <c r="AN929" s="109"/>
      <c r="AO929" s="109"/>
      <c r="AP929" s="109"/>
      <c r="AQ929" s="109"/>
      <c r="AR929" s="109"/>
      <c r="AS929" s="109"/>
      <c r="AT929" s="109"/>
      <c r="AU929" s="109"/>
    </row>
    <row r="930" spans="1:47" ht="14.25" customHeight="1" x14ac:dyDescent="0.3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09"/>
      <c r="AG930" s="109"/>
      <c r="AH930" s="109"/>
      <c r="AI930" s="109"/>
      <c r="AJ930" s="109"/>
      <c r="AK930" s="109"/>
      <c r="AL930" s="109"/>
      <c r="AM930" s="109"/>
      <c r="AN930" s="109"/>
      <c r="AO930" s="109"/>
      <c r="AP930" s="109"/>
      <c r="AQ930" s="109"/>
      <c r="AR930" s="109"/>
      <c r="AS930" s="109"/>
      <c r="AT930" s="109"/>
      <c r="AU930" s="109"/>
    </row>
    <row r="931" spans="1:47" ht="14.25" customHeight="1" x14ac:dyDescent="0.3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/>
      <c r="AL931" s="109"/>
      <c r="AM931" s="109"/>
      <c r="AN931" s="109"/>
      <c r="AO931" s="109"/>
      <c r="AP931" s="109"/>
      <c r="AQ931" s="109"/>
      <c r="AR931" s="109"/>
      <c r="AS931" s="109"/>
      <c r="AT931" s="109"/>
      <c r="AU931" s="109"/>
    </row>
    <row r="932" spans="1:47" ht="14.25" customHeight="1" x14ac:dyDescent="0.3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09"/>
      <c r="AG932" s="109"/>
      <c r="AH932" s="109"/>
      <c r="AI932" s="109"/>
      <c r="AJ932" s="109"/>
      <c r="AK932" s="109"/>
      <c r="AL932" s="109"/>
      <c r="AM932" s="109"/>
      <c r="AN932" s="109"/>
      <c r="AO932" s="109"/>
      <c r="AP932" s="109"/>
      <c r="AQ932" s="109"/>
      <c r="AR932" s="109"/>
      <c r="AS932" s="109"/>
      <c r="AT932" s="109"/>
      <c r="AU932" s="109"/>
    </row>
    <row r="933" spans="1:47" ht="14.25" customHeight="1" x14ac:dyDescent="0.3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09"/>
      <c r="AG933" s="109"/>
      <c r="AH933" s="109"/>
      <c r="AI933" s="109"/>
      <c r="AJ933" s="109"/>
      <c r="AK933" s="109"/>
      <c r="AL933" s="109"/>
      <c r="AM933" s="109"/>
      <c r="AN933" s="109"/>
      <c r="AO933" s="109"/>
      <c r="AP933" s="109"/>
      <c r="AQ933" s="109"/>
      <c r="AR933" s="109"/>
      <c r="AS933" s="109"/>
      <c r="AT933" s="109"/>
      <c r="AU933" s="109"/>
    </row>
    <row r="934" spans="1:47" ht="14.25" customHeight="1" x14ac:dyDescent="0.3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09"/>
      <c r="AG934" s="109"/>
      <c r="AH934" s="109"/>
      <c r="AI934" s="109"/>
      <c r="AJ934" s="109"/>
      <c r="AK934" s="109"/>
      <c r="AL934" s="109"/>
      <c r="AM934" s="109"/>
      <c r="AN934" s="109"/>
      <c r="AO934" s="109"/>
      <c r="AP934" s="109"/>
      <c r="AQ934" s="109"/>
      <c r="AR934" s="109"/>
      <c r="AS934" s="109"/>
      <c r="AT934" s="109"/>
      <c r="AU934" s="109"/>
    </row>
    <row r="935" spans="1:47" ht="14.25" customHeight="1" x14ac:dyDescent="0.3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/>
      <c r="AL935" s="109"/>
      <c r="AM935" s="109"/>
      <c r="AN935" s="109"/>
      <c r="AO935" s="109"/>
      <c r="AP935" s="109"/>
      <c r="AQ935" s="109"/>
      <c r="AR935" s="109"/>
      <c r="AS935" s="109"/>
      <c r="AT935" s="109"/>
      <c r="AU935" s="109"/>
    </row>
    <row r="936" spans="1:47" ht="14.25" customHeight="1" x14ac:dyDescent="0.3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09"/>
      <c r="AG936" s="109"/>
      <c r="AH936" s="109"/>
      <c r="AI936" s="109"/>
      <c r="AJ936" s="109"/>
      <c r="AK936" s="109"/>
      <c r="AL936" s="109"/>
      <c r="AM936" s="109"/>
      <c r="AN936" s="109"/>
      <c r="AO936" s="109"/>
      <c r="AP936" s="109"/>
      <c r="AQ936" s="109"/>
      <c r="AR936" s="109"/>
      <c r="AS936" s="109"/>
      <c r="AT936" s="109"/>
      <c r="AU936" s="109"/>
    </row>
    <row r="937" spans="1:47" ht="14.25" customHeight="1" x14ac:dyDescent="0.3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09"/>
      <c r="AG937" s="109"/>
      <c r="AH937" s="109"/>
      <c r="AI937" s="109"/>
      <c r="AJ937" s="109"/>
      <c r="AK937" s="109"/>
      <c r="AL937" s="109"/>
      <c r="AM937" s="109"/>
      <c r="AN937" s="109"/>
      <c r="AO937" s="109"/>
      <c r="AP937" s="109"/>
      <c r="AQ937" s="109"/>
      <c r="AR937" s="109"/>
      <c r="AS937" s="109"/>
      <c r="AT937" s="109"/>
      <c r="AU937" s="109"/>
    </row>
    <row r="938" spans="1:47" ht="14.25" customHeight="1" x14ac:dyDescent="0.3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09"/>
      <c r="AG938" s="109"/>
      <c r="AH938" s="109"/>
      <c r="AI938" s="109"/>
      <c r="AJ938" s="109"/>
      <c r="AK938" s="109"/>
      <c r="AL938" s="109"/>
      <c r="AM938" s="109"/>
      <c r="AN938" s="109"/>
      <c r="AO938" s="109"/>
      <c r="AP938" s="109"/>
      <c r="AQ938" s="109"/>
      <c r="AR938" s="109"/>
      <c r="AS938" s="109"/>
      <c r="AT938" s="109"/>
      <c r="AU938" s="109"/>
    </row>
    <row r="939" spans="1:47" ht="14.25" customHeight="1" x14ac:dyDescent="0.3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  <c r="AD939" s="109"/>
      <c r="AE939" s="109"/>
      <c r="AF939" s="109"/>
      <c r="AG939" s="109"/>
      <c r="AH939" s="109"/>
      <c r="AI939" s="109"/>
      <c r="AJ939" s="109"/>
      <c r="AK939" s="109"/>
      <c r="AL939" s="109"/>
      <c r="AM939" s="109"/>
      <c r="AN939" s="109"/>
      <c r="AO939" s="109"/>
      <c r="AP939" s="109"/>
      <c r="AQ939" s="109"/>
      <c r="AR939" s="109"/>
      <c r="AS939" s="109"/>
      <c r="AT939" s="109"/>
      <c r="AU939" s="109"/>
    </row>
    <row r="940" spans="1:47" ht="14.25" customHeight="1" x14ac:dyDescent="0.3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09"/>
      <c r="AG940" s="109"/>
      <c r="AH940" s="109"/>
      <c r="AI940" s="109"/>
      <c r="AJ940" s="109"/>
      <c r="AK940" s="109"/>
      <c r="AL940" s="109"/>
      <c r="AM940" s="109"/>
      <c r="AN940" s="109"/>
      <c r="AO940" s="109"/>
      <c r="AP940" s="109"/>
      <c r="AQ940" s="109"/>
      <c r="AR940" s="109"/>
      <c r="AS940" s="109"/>
      <c r="AT940" s="109"/>
      <c r="AU940" s="109"/>
    </row>
    <row r="941" spans="1:47" ht="14.25" customHeight="1" x14ac:dyDescent="0.3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09"/>
      <c r="AG941" s="109"/>
      <c r="AH941" s="109"/>
      <c r="AI941" s="109"/>
      <c r="AJ941" s="109"/>
      <c r="AK941" s="109"/>
      <c r="AL941" s="109"/>
      <c r="AM941" s="109"/>
      <c r="AN941" s="109"/>
      <c r="AO941" s="109"/>
      <c r="AP941" s="109"/>
      <c r="AQ941" s="109"/>
      <c r="AR941" s="109"/>
      <c r="AS941" s="109"/>
      <c r="AT941" s="109"/>
      <c r="AU941" s="109"/>
    </row>
    <row r="942" spans="1:47" ht="14.25" customHeight="1" x14ac:dyDescent="0.3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  <c r="AD942" s="109"/>
      <c r="AE942" s="109"/>
      <c r="AF942" s="109"/>
      <c r="AG942" s="109"/>
      <c r="AH942" s="109"/>
      <c r="AI942" s="109"/>
      <c r="AJ942" s="109"/>
      <c r="AK942" s="109"/>
      <c r="AL942" s="109"/>
      <c r="AM942" s="109"/>
      <c r="AN942" s="109"/>
      <c r="AO942" s="109"/>
      <c r="AP942" s="109"/>
      <c r="AQ942" s="109"/>
      <c r="AR942" s="109"/>
      <c r="AS942" s="109"/>
      <c r="AT942" s="109"/>
      <c r="AU942" s="109"/>
    </row>
    <row r="943" spans="1:47" ht="14.25" customHeight="1" x14ac:dyDescent="0.3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09"/>
      <c r="AG943" s="109"/>
      <c r="AH943" s="109"/>
      <c r="AI943" s="109"/>
      <c r="AJ943" s="109"/>
      <c r="AK943" s="109"/>
      <c r="AL943" s="109"/>
      <c r="AM943" s="109"/>
      <c r="AN943" s="109"/>
      <c r="AO943" s="109"/>
      <c r="AP943" s="109"/>
      <c r="AQ943" s="109"/>
      <c r="AR943" s="109"/>
      <c r="AS943" s="109"/>
      <c r="AT943" s="109"/>
      <c r="AU943" s="109"/>
    </row>
    <row r="944" spans="1:47" ht="14.25" customHeight="1" x14ac:dyDescent="0.3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09"/>
      <c r="AG944" s="109"/>
      <c r="AH944" s="109"/>
      <c r="AI944" s="109"/>
      <c r="AJ944" s="109"/>
      <c r="AK944" s="109"/>
      <c r="AL944" s="109"/>
      <c r="AM944" s="109"/>
      <c r="AN944" s="109"/>
      <c r="AO944" s="109"/>
      <c r="AP944" s="109"/>
      <c r="AQ944" s="109"/>
      <c r="AR944" s="109"/>
      <c r="AS944" s="109"/>
      <c r="AT944" s="109"/>
      <c r="AU944" s="109"/>
    </row>
    <row r="945" spans="1:47" ht="14.25" customHeight="1" x14ac:dyDescent="0.3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09"/>
      <c r="AG945" s="109"/>
      <c r="AH945" s="109"/>
      <c r="AI945" s="109"/>
      <c r="AJ945" s="109"/>
      <c r="AK945" s="109"/>
      <c r="AL945" s="109"/>
      <c r="AM945" s="109"/>
      <c r="AN945" s="109"/>
      <c r="AO945" s="109"/>
      <c r="AP945" s="109"/>
      <c r="AQ945" s="109"/>
      <c r="AR945" s="109"/>
      <c r="AS945" s="109"/>
      <c r="AT945" s="109"/>
      <c r="AU945" s="109"/>
    </row>
    <row r="946" spans="1:47" ht="14.25" customHeight="1" x14ac:dyDescent="0.3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09"/>
      <c r="AG946" s="109"/>
      <c r="AH946" s="109"/>
      <c r="AI946" s="109"/>
      <c r="AJ946" s="109"/>
      <c r="AK946" s="109"/>
      <c r="AL946" s="109"/>
      <c r="AM946" s="109"/>
      <c r="AN946" s="109"/>
      <c r="AO946" s="109"/>
      <c r="AP946" s="109"/>
      <c r="AQ946" s="109"/>
      <c r="AR946" s="109"/>
      <c r="AS946" s="109"/>
      <c r="AT946" s="109"/>
      <c r="AU946" s="109"/>
    </row>
    <row r="947" spans="1:47" ht="14.25" customHeight="1" x14ac:dyDescent="0.3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  <c r="AD947" s="109"/>
      <c r="AE947" s="109"/>
      <c r="AF947" s="109"/>
      <c r="AG947" s="109"/>
      <c r="AH947" s="109"/>
      <c r="AI947" s="109"/>
      <c r="AJ947" s="109"/>
      <c r="AK947" s="109"/>
      <c r="AL947" s="109"/>
      <c r="AM947" s="109"/>
      <c r="AN947" s="109"/>
      <c r="AO947" s="109"/>
      <c r="AP947" s="109"/>
      <c r="AQ947" s="109"/>
      <c r="AR947" s="109"/>
      <c r="AS947" s="109"/>
      <c r="AT947" s="109"/>
      <c r="AU947" s="109"/>
    </row>
    <row r="948" spans="1:47" ht="14.25" customHeight="1" x14ac:dyDescent="0.3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  <c r="AD948" s="109"/>
      <c r="AE948" s="109"/>
      <c r="AF948" s="109"/>
      <c r="AG948" s="109"/>
      <c r="AH948" s="109"/>
      <c r="AI948" s="109"/>
      <c r="AJ948" s="109"/>
      <c r="AK948" s="109"/>
      <c r="AL948" s="109"/>
      <c r="AM948" s="109"/>
      <c r="AN948" s="109"/>
      <c r="AO948" s="109"/>
      <c r="AP948" s="109"/>
      <c r="AQ948" s="109"/>
      <c r="AR948" s="109"/>
      <c r="AS948" s="109"/>
      <c r="AT948" s="109"/>
      <c r="AU948" s="109"/>
    </row>
    <row r="949" spans="1:47" ht="14.25" customHeight="1" x14ac:dyDescent="0.3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  <c r="AD949" s="109"/>
      <c r="AE949" s="109"/>
      <c r="AF949" s="109"/>
      <c r="AG949" s="109"/>
      <c r="AH949" s="109"/>
      <c r="AI949" s="109"/>
      <c r="AJ949" s="109"/>
      <c r="AK949" s="109"/>
      <c r="AL949" s="109"/>
      <c r="AM949" s="109"/>
      <c r="AN949" s="109"/>
      <c r="AO949" s="109"/>
      <c r="AP949" s="109"/>
      <c r="AQ949" s="109"/>
      <c r="AR949" s="109"/>
      <c r="AS949" s="109"/>
      <c r="AT949" s="109"/>
      <c r="AU949" s="109"/>
    </row>
    <row r="950" spans="1:47" ht="14.25" customHeight="1" x14ac:dyDescent="0.3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  <c r="AD950" s="109"/>
      <c r="AE950" s="109"/>
      <c r="AF950" s="109"/>
      <c r="AG950" s="109"/>
      <c r="AH950" s="109"/>
      <c r="AI950" s="109"/>
      <c r="AJ950" s="109"/>
      <c r="AK950" s="109"/>
      <c r="AL950" s="109"/>
      <c r="AM950" s="109"/>
      <c r="AN950" s="109"/>
      <c r="AO950" s="109"/>
      <c r="AP950" s="109"/>
      <c r="AQ950" s="109"/>
      <c r="AR950" s="109"/>
      <c r="AS950" s="109"/>
      <c r="AT950" s="109"/>
      <c r="AU950" s="109"/>
    </row>
    <row r="951" spans="1:47" ht="14.25" customHeight="1" x14ac:dyDescent="0.3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  <c r="AA951" s="109"/>
      <c r="AB951" s="109"/>
      <c r="AC951" s="109"/>
      <c r="AD951" s="109"/>
      <c r="AE951" s="109"/>
      <c r="AF951" s="109"/>
      <c r="AG951" s="109"/>
      <c r="AH951" s="109"/>
      <c r="AI951" s="109"/>
      <c r="AJ951" s="109"/>
      <c r="AK951" s="109"/>
      <c r="AL951" s="109"/>
      <c r="AM951" s="109"/>
      <c r="AN951" s="109"/>
      <c r="AO951" s="109"/>
      <c r="AP951" s="109"/>
      <c r="AQ951" s="109"/>
      <c r="AR951" s="109"/>
      <c r="AS951" s="109"/>
      <c r="AT951" s="109"/>
      <c r="AU951" s="109"/>
    </row>
    <row r="952" spans="1:47" ht="14.25" customHeight="1" x14ac:dyDescent="0.3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  <c r="AB952" s="109"/>
      <c r="AC952" s="109"/>
      <c r="AD952" s="109"/>
      <c r="AE952" s="109"/>
      <c r="AF952" s="109"/>
      <c r="AG952" s="109"/>
      <c r="AH952" s="109"/>
      <c r="AI952" s="109"/>
      <c r="AJ952" s="109"/>
      <c r="AK952" s="109"/>
      <c r="AL952" s="109"/>
      <c r="AM952" s="109"/>
      <c r="AN952" s="109"/>
      <c r="AO952" s="109"/>
      <c r="AP952" s="109"/>
      <c r="AQ952" s="109"/>
      <c r="AR952" s="109"/>
      <c r="AS952" s="109"/>
      <c r="AT952" s="109"/>
      <c r="AU952" s="109"/>
    </row>
    <row r="953" spans="1:47" ht="14.25" customHeight="1" x14ac:dyDescent="0.3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  <c r="AD953" s="109"/>
      <c r="AE953" s="109"/>
      <c r="AF953" s="109"/>
      <c r="AG953" s="109"/>
      <c r="AH953" s="109"/>
      <c r="AI953" s="109"/>
      <c r="AJ953" s="109"/>
      <c r="AK953" s="109"/>
      <c r="AL953" s="109"/>
      <c r="AM953" s="109"/>
      <c r="AN953" s="109"/>
      <c r="AO953" s="109"/>
      <c r="AP953" s="109"/>
      <c r="AQ953" s="109"/>
      <c r="AR953" s="109"/>
      <c r="AS953" s="109"/>
      <c r="AT953" s="109"/>
      <c r="AU953" s="109"/>
    </row>
    <row r="954" spans="1:47" ht="14.25" customHeight="1" x14ac:dyDescent="0.3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  <c r="AD954" s="109"/>
      <c r="AE954" s="109"/>
      <c r="AF954" s="109"/>
      <c r="AG954" s="109"/>
      <c r="AH954" s="109"/>
      <c r="AI954" s="109"/>
      <c r="AJ954" s="109"/>
      <c r="AK954" s="109"/>
      <c r="AL954" s="109"/>
      <c r="AM954" s="109"/>
      <c r="AN954" s="109"/>
      <c r="AO954" s="109"/>
      <c r="AP954" s="109"/>
      <c r="AQ954" s="109"/>
      <c r="AR954" s="109"/>
      <c r="AS954" s="109"/>
      <c r="AT954" s="109"/>
      <c r="AU954" s="109"/>
    </row>
    <row r="955" spans="1:47" ht="14.25" customHeight="1" x14ac:dyDescent="0.3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  <c r="AD955" s="109"/>
      <c r="AE955" s="109"/>
      <c r="AF955" s="109"/>
      <c r="AG955" s="109"/>
      <c r="AH955" s="109"/>
      <c r="AI955" s="109"/>
      <c r="AJ955" s="109"/>
      <c r="AK955" s="109"/>
      <c r="AL955" s="109"/>
      <c r="AM955" s="109"/>
      <c r="AN955" s="109"/>
      <c r="AO955" s="109"/>
      <c r="AP955" s="109"/>
      <c r="AQ955" s="109"/>
      <c r="AR955" s="109"/>
      <c r="AS955" s="109"/>
      <c r="AT955" s="109"/>
      <c r="AU955" s="109"/>
    </row>
    <row r="956" spans="1:47" ht="14.25" customHeight="1" x14ac:dyDescent="0.3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  <c r="AD956" s="109"/>
      <c r="AE956" s="109"/>
      <c r="AF956" s="109"/>
      <c r="AG956" s="109"/>
      <c r="AH956" s="109"/>
      <c r="AI956" s="109"/>
      <c r="AJ956" s="109"/>
      <c r="AK956" s="109"/>
      <c r="AL956" s="109"/>
      <c r="AM956" s="109"/>
      <c r="AN956" s="109"/>
      <c r="AO956" s="109"/>
      <c r="AP956" s="109"/>
      <c r="AQ956" s="109"/>
      <c r="AR956" s="109"/>
      <c r="AS956" s="109"/>
      <c r="AT956" s="109"/>
      <c r="AU956" s="109"/>
    </row>
    <row r="957" spans="1:47" ht="14.25" customHeight="1" x14ac:dyDescent="0.3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  <c r="AD957" s="109"/>
      <c r="AE957" s="109"/>
      <c r="AF957" s="109"/>
      <c r="AG957" s="109"/>
      <c r="AH957" s="109"/>
      <c r="AI957" s="109"/>
      <c r="AJ957" s="109"/>
      <c r="AK957" s="109"/>
      <c r="AL957" s="109"/>
      <c r="AM957" s="109"/>
      <c r="AN957" s="109"/>
      <c r="AO957" s="109"/>
      <c r="AP957" s="109"/>
      <c r="AQ957" s="109"/>
      <c r="AR957" s="109"/>
      <c r="AS957" s="109"/>
      <c r="AT957" s="109"/>
      <c r="AU957" s="109"/>
    </row>
    <row r="958" spans="1:47" ht="14.25" customHeight="1" x14ac:dyDescent="0.3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09"/>
      <c r="AC958" s="109"/>
      <c r="AD958" s="109"/>
      <c r="AE958" s="109"/>
      <c r="AF958" s="109"/>
      <c r="AG958" s="109"/>
      <c r="AH958" s="109"/>
      <c r="AI958" s="109"/>
      <c r="AJ958" s="109"/>
      <c r="AK958" s="109"/>
      <c r="AL958" s="109"/>
      <c r="AM958" s="109"/>
      <c r="AN958" s="109"/>
      <c r="AO958" s="109"/>
      <c r="AP958" s="109"/>
      <c r="AQ958" s="109"/>
      <c r="AR958" s="109"/>
      <c r="AS958" s="109"/>
      <c r="AT958" s="109"/>
      <c r="AU958" s="109"/>
    </row>
    <row r="959" spans="1:47" ht="14.25" customHeight="1" x14ac:dyDescent="0.3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  <c r="AD959" s="109"/>
      <c r="AE959" s="109"/>
      <c r="AF959" s="109"/>
      <c r="AG959" s="109"/>
      <c r="AH959" s="109"/>
      <c r="AI959" s="109"/>
      <c r="AJ959" s="109"/>
      <c r="AK959" s="109"/>
      <c r="AL959" s="109"/>
      <c r="AM959" s="109"/>
      <c r="AN959" s="109"/>
      <c r="AO959" s="109"/>
      <c r="AP959" s="109"/>
      <c r="AQ959" s="109"/>
      <c r="AR959" s="109"/>
      <c r="AS959" s="109"/>
      <c r="AT959" s="109"/>
      <c r="AU959" s="109"/>
    </row>
    <row r="960" spans="1:47" ht="14.25" customHeight="1" x14ac:dyDescent="0.3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  <c r="AD960" s="109"/>
      <c r="AE960" s="109"/>
      <c r="AF960" s="109"/>
      <c r="AG960" s="109"/>
      <c r="AH960" s="109"/>
      <c r="AI960" s="109"/>
      <c r="AJ960" s="109"/>
      <c r="AK960" s="109"/>
      <c r="AL960" s="109"/>
      <c r="AM960" s="109"/>
      <c r="AN960" s="109"/>
      <c r="AO960" s="109"/>
      <c r="AP960" s="109"/>
      <c r="AQ960" s="109"/>
      <c r="AR960" s="109"/>
      <c r="AS960" s="109"/>
      <c r="AT960" s="109"/>
      <c r="AU960" s="109"/>
    </row>
    <row r="961" spans="1:47" ht="14.25" customHeight="1" x14ac:dyDescent="0.3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  <c r="AD961" s="109"/>
      <c r="AE961" s="109"/>
      <c r="AF961" s="109"/>
      <c r="AG961" s="109"/>
      <c r="AH961" s="109"/>
      <c r="AI961" s="109"/>
      <c r="AJ961" s="109"/>
      <c r="AK961" s="109"/>
      <c r="AL961" s="109"/>
      <c r="AM961" s="109"/>
      <c r="AN961" s="109"/>
      <c r="AO961" s="109"/>
      <c r="AP961" s="109"/>
      <c r="AQ961" s="109"/>
      <c r="AR961" s="109"/>
      <c r="AS961" s="109"/>
      <c r="AT961" s="109"/>
      <c r="AU961" s="109"/>
    </row>
    <row r="962" spans="1:47" ht="14.25" customHeight="1" x14ac:dyDescent="0.3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  <c r="AD962" s="109"/>
      <c r="AE962" s="109"/>
      <c r="AF962" s="109"/>
      <c r="AG962" s="109"/>
      <c r="AH962" s="109"/>
      <c r="AI962" s="109"/>
      <c r="AJ962" s="109"/>
      <c r="AK962" s="109"/>
      <c r="AL962" s="109"/>
      <c r="AM962" s="109"/>
      <c r="AN962" s="109"/>
      <c r="AO962" s="109"/>
      <c r="AP962" s="109"/>
      <c r="AQ962" s="109"/>
      <c r="AR962" s="109"/>
      <c r="AS962" s="109"/>
      <c r="AT962" s="109"/>
      <c r="AU962" s="109"/>
    </row>
    <row r="963" spans="1:47" ht="14.25" customHeight="1" x14ac:dyDescent="0.3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  <c r="AD963" s="109"/>
      <c r="AE963" s="109"/>
      <c r="AF963" s="109"/>
      <c r="AG963" s="109"/>
      <c r="AH963" s="109"/>
      <c r="AI963" s="109"/>
      <c r="AJ963" s="109"/>
      <c r="AK963" s="109"/>
      <c r="AL963" s="109"/>
      <c r="AM963" s="109"/>
      <c r="AN963" s="109"/>
      <c r="AO963" s="109"/>
      <c r="AP963" s="109"/>
      <c r="AQ963" s="109"/>
      <c r="AR963" s="109"/>
      <c r="AS963" s="109"/>
      <c r="AT963" s="109"/>
      <c r="AU963" s="109"/>
    </row>
    <row r="964" spans="1:47" ht="14.25" customHeight="1" x14ac:dyDescent="0.3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  <c r="AD964" s="109"/>
      <c r="AE964" s="109"/>
      <c r="AF964" s="109"/>
      <c r="AG964" s="109"/>
      <c r="AH964" s="109"/>
      <c r="AI964" s="109"/>
      <c r="AJ964" s="109"/>
      <c r="AK964" s="109"/>
      <c r="AL964" s="109"/>
      <c r="AM964" s="109"/>
      <c r="AN964" s="109"/>
      <c r="AO964" s="109"/>
      <c r="AP964" s="109"/>
      <c r="AQ964" s="109"/>
      <c r="AR964" s="109"/>
      <c r="AS964" s="109"/>
      <c r="AT964" s="109"/>
      <c r="AU964" s="109"/>
    </row>
    <row r="965" spans="1:47" ht="14.25" customHeight="1" x14ac:dyDescent="0.3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  <c r="AD965" s="109"/>
      <c r="AE965" s="109"/>
      <c r="AF965" s="109"/>
      <c r="AG965" s="109"/>
      <c r="AH965" s="109"/>
      <c r="AI965" s="109"/>
      <c r="AJ965" s="109"/>
      <c r="AK965" s="109"/>
      <c r="AL965" s="109"/>
      <c r="AM965" s="109"/>
      <c r="AN965" s="109"/>
      <c r="AO965" s="109"/>
      <c r="AP965" s="109"/>
      <c r="AQ965" s="109"/>
      <c r="AR965" s="109"/>
      <c r="AS965" s="109"/>
      <c r="AT965" s="109"/>
      <c r="AU965" s="109"/>
    </row>
    <row r="966" spans="1:47" ht="14.25" customHeight="1" x14ac:dyDescent="0.3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  <c r="AD966" s="109"/>
      <c r="AE966" s="109"/>
      <c r="AF966" s="109"/>
      <c r="AG966" s="109"/>
      <c r="AH966" s="109"/>
      <c r="AI966" s="109"/>
      <c r="AJ966" s="109"/>
      <c r="AK966" s="109"/>
      <c r="AL966" s="109"/>
      <c r="AM966" s="109"/>
      <c r="AN966" s="109"/>
      <c r="AO966" s="109"/>
      <c r="AP966" s="109"/>
      <c r="AQ966" s="109"/>
      <c r="AR966" s="109"/>
      <c r="AS966" s="109"/>
      <c r="AT966" s="109"/>
      <c r="AU966" s="109"/>
    </row>
    <row r="967" spans="1:47" ht="14.25" customHeight="1" x14ac:dyDescent="0.3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  <c r="AD967" s="109"/>
      <c r="AE967" s="109"/>
      <c r="AF967" s="109"/>
      <c r="AG967" s="109"/>
      <c r="AH967" s="109"/>
      <c r="AI967" s="109"/>
      <c r="AJ967" s="109"/>
      <c r="AK967" s="109"/>
      <c r="AL967" s="109"/>
      <c r="AM967" s="109"/>
      <c r="AN967" s="109"/>
      <c r="AO967" s="109"/>
      <c r="AP967" s="109"/>
      <c r="AQ967" s="109"/>
      <c r="AR967" s="109"/>
      <c r="AS967" s="109"/>
      <c r="AT967" s="109"/>
      <c r="AU967" s="109"/>
    </row>
    <row r="968" spans="1:47" ht="14.25" customHeight="1" x14ac:dyDescent="0.3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  <c r="AD968" s="109"/>
      <c r="AE968" s="109"/>
      <c r="AF968" s="109"/>
      <c r="AG968" s="109"/>
      <c r="AH968" s="109"/>
      <c r="AI968" s="109"/>
      <c r="AJ968" s="109"/>
      <c r="AK968" s="109"/>
      <c r="AL968" s="109"/>
      <c r="AM968" s="109"/>
      <c r="AN968" s="109"/>
      <c r="AO968" s="109"/>
      <c r="AP968" s="109"/>
      <c r="AQ968" s="109"/>
      <c r="AR968" s="109"/>
      <c r="AS968" s="109"/>
      <c r="AT968" s="109"/>
      <c r="AU968" s="109"/>
    </row>
    <row r="969" spans="1:47" ht="14.25" customHeight="1" x14ac:dyDescent="0.3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09"/>
      <c r="AC969" s="109"/>
      <c r="AD969" s="109"/>
      <c r="AE969" s="109"/>
      <c r="AF969" s="109"/>
      <c r="AG969" s="109"/>
      <c r="AH969" s="109"/>
      <c r="AI969" s="109"/>
      <c r="AJ969" s="109"/>
      <c r="AK969" s="109"/>
      <c r="AL969" s="109"/>
      <c r="AM969" s="109"/>
      <c r="AN969" s="109"/>
      <c r="AO969" s="109"/>
      <c r="AP969" s="109"/>
      <c r="AQ969" s="109"/>
      <c r="AR969" s="109"/>
      <c r="AS969" s="109"/>
      <c r="AT969" s="109"/>
      <c r="AU969" s="109"/>
    </row>
    <row r="970" spans="1:47" ht="14.25" customHeight="1" x14ac:dyDescent="0.3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  <c r="AD970" s="109"/>
      <c r="AE970" s="109"/>
      <c r="AF970" s="109"/>
      <c r="AG970" s="109"/>
      <c r="AH970" s="109"/>
      <c r="AI970" s="109"/>
      <c r="AJ970" s="109"/>
      <c r="AK970" s="109"/>
      <c r="AL970" s="109"/>
      <c r="AM970" s="109"/>
      <c r="AN970" s="109"/>
      <c r="AO970" s="109"/>
      <c r="AP970" s="109"/>
      <c r="AQ970" s="109"/>
      <c r="AR970" s="109"/>
      <c r="AS970" s="109"/>
      <c r="AT970" s="109"/>
      <c r="AU970" s="109"/>
    </row>
    <row r="971" spans="1:47" ht="14.25" customHeight="1" x14ac:dyDescent="0.3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  <c r="AD971" s="109"/>
      <c r="AE971" s="109"/>
      <c r="AF971" s="109"/>
      <c r="AG971" s="109"/>
      <c r="AH971" s="109"/>
      <c r="AI971" s="109"/>
      <c r="AJ971" s="109"/>
      <c r="AK971" s="109"/>
      <c r="AL971" s="109"/>
      <c r="AM971" s="109"/>
      <c r="AN971" s="109"/>
      <c r="AO971" s="109"/>
      <c r="AP971" s="109"/>
      <c r="AQ971" s="109"/>
      <c r="AR971" s="109"/>
      <c r="AS971" s="109"/>
      <c r="AT971" s="109"/>
      <c r="AU971" s="109"/>
    </row>
    <row r="972" spans="1:47" ht="14.25" customHeight="1" x14ac:dyDescent="0.3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  <c r="AD972" s="109"/>
      <c r="AE972" s="109"/>
      <c r="AF972" s="109"/>
      <c r="AG972" s="109"/>
      <c r="AH972" s="109"/>
      <c r="AI972" s="109"/>
      <c r="AJ972" s="109"/>
      <c r="AK972" s="109"/>
      <c r="AL972" s="109"/>
      <c r="AM972" s="109"/>
      <c r="AN972" s="109"/>
      <c r="AO972" s="109"/>
      <c r="AP972" s="109"/>
      <c r="AQ972" s="109"/>
      <c r="AR972" s="109"/>
      <c r="AS972" s="109"/>
      <c r="AT972" s="109"/>
      <c r="AU972" s="109"/>
    </row>
    <row r="973" spans="1:47" ht="14.25" customHeight="1" x14ac:dyDescent="0.3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  <c r="AD973" s="109"/>
      <c r="AE973" s="109"/>
      <c r="AF973" s="109"/>
      <c r="AG973" s="109"/>
      <c r="AH973" s="109"/>
      <c r="AI973" s="109"/>
      <c r="AJ973" s="109"/>
      <c r="AK973" s="109"/>
      <c r="AL973" s="109"/>
      <c r="AM973" s="109"/>
      <c r="AN973" s="109"/>
      <c r="AO973" s="109"/>
      <c r="AP973" s="109"/>
      <c r="AQ973" s="109"/>
      <c r="AR973" s="109"/>
      <c r="AS973" s="109"/>
      <c r="AT973" s="109"/>
      <c r="AU973" s="109"/>
    </row>
    <row r="974" spans="1:47" ht="14.25" customHeight="1" x14ac:dyDescent="0.3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  <c r="AD974" s="109"/>
      <c r="AE974" s="109"/>
      <c r="AF974" s="109"/>
      <c r="AG974" s="109"/>
      <c r="AH974" s="109"/>
      <c r="AI974" s="109"/>
      <c r="AJ974" s="109"/>
      <c r="AK974" s="109"/>
      <c r="AL974" s="109"/>
      <c r="AM974" s="109"/>
      <c r="AN974" s="109"/>
      <c r="AO974" s="109"/>
      <c r="AP974" s="109"/>
      <c r="AQ974" s="109"/>
      <c r="AR974" s="109"/>
      <c r="AS974" s="109"/>
      <c r="AT974" s="109"/>
      <c r="AU974" s="109"/>
    </row>
    <row r="975" spans="1:47" ht="14.25" customHeight="1" x14ac:dyDescent="0.3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  <c r="AD975" s="109"/>
      <c r="AE975" s="109"/>
      <c r="AF975" s="109"/>
      <c r="AG975" s="109"/>
      <c r="AH975" s="109"/>
      <c r="AI975" s="109"/>
      <c r="AJ975" s="109"/>
      <c r="AK975" s="109"/>
      <c r="AL975" s="109"/>
      <c r="AM975" s="109"/>
      <c r="AN975" s="109"/>
      <c r="AO975" s="109"/>
      <c r="AP975" s="109"/>
      <c r="AQ975" s="109"/>
      <c r="AR975" s="109"/>
      <c r="AS975" s="109"/>
      <c r="AT975" s="109"/>
      <c r="AU975" s="109"/>
    </row>
    <row r="976" spans="1:47" ht="14.25" customHeight="1" x14ac:dyDescent="0.3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  <c r="AD976" s="109"/>
      <c r="AE976" s="109"/>
      <c r="AF976" s="109"/>
      <c r="AG976" s="109"/>
      <c r="AH976" s="109"/>
      <c r="AI976" s="109"/>
      <c r="AJ976" s="109"/>
      <c r="AK976" s="109"/>
      <c r="AL976" s="109"/>
      <c r="AM976" s="109"/>
      <c r="AN976" s="109"/>
      <c r="AO976" s="109"/>
      <c r="AP976" s="109"/>
      <c r="AQ976" s="109"/>
      <c r="AR976" s="109"/>
      <c r="AS976" s="109"/>
      <c r="AT976" s="109"/>
      <c r="AU976" s="109"/>
    </row>
    <row r="977" spans="1:47" ht="14.25" customHeight="1" x14ac:dyDescent="0.3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  <c r="AD977" s="109"/>
      <c r="AE977" s="109"/>
      <c r="AF977" s="109"/>
      <c r="AG977" s="109"/>
      <c r="AH977" s="109"/>
      <c r="AI977" s="109"/>
      <c r="AJ977" s="109"/>
      <c r="AK977" s="109"/>
      <c r="AL977" s="109"/>
      <c r="AM977" s="109"/>
      <c r="AN977" s="109"/>
      <c r="AO977" s="109"/>
      <c r="AP977" s="109"/>
      <c r="AQ977" s="109"/>
      <c r="AR977" s="109"/>
      <c r="AS977" s="109"/>
      <c r="AT977" s="109"/>
      <c r="AU977" s="109"/>
    </row>
    <row r="978" spans="1:47" ht="14.25" customHeight="1" x14ac:dyDescent="0.3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  <c r="AD978" s="109"/>
      <c r="AE978" s="109"/>
      <c r="AF978" s="109"/>
      <c r="AG978" s="109"/>
      <c r="AH978" s="109"/>
      <c r="AI978" s="109"/>
      <c r="AJ978" s="109"/>
      <c r="AK978" s="109"/>
      <c r="AL978" s="109"/>
      <c r="AM978" s="109"/>
      <c r="AN978" s="109"/>
      <c r="AO978" s="109"/>
      <c r="AP978" s="109"/>
      <c r="AQ978" s="109"/>
      <c r="AR978" s="109"/>
      <c r="AS978" s="109"/>
      <c r="AT978" s="109"/>
      <c r="AU978" s="109"/>
    </row>
    <row r="979" spans="1:47" ht="14.25" customHeight="1" x14ac:dyDescent="0.3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/>
      <c r="AL979" s="109"/>
      <c r="AM979" s="109"/>
      <c r="AN979" s="109"/>
      <c r="AO979" s="109"/>
      <c r="AP979" s="109"/>
      <c r="AQ979" s="109"/>
      <c r="AR979" s="109"/>
      <c r="AS979" s="109"/>
      <c r="AT979" s="109"/>
      <c r="AU979" s="109"/>
    </row>
    <row r="980" spans="1:47" ht="14.25" customHeight="1" x14ac:dyDescent="0.3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  <c r="AD980" s="109"/>
      <c r="AE980" s="109"/>
      <c r="AF980" s="109"/>
      <c r="AG980" s="109"/>
      <c r="AH980" s="109"/>
      <c r="AI980" s="109"/>
      <c r="AJ980" s="109"/>
      <c r="AK980" s="109"/>
      <c r="AL980" s="109"/>
      <c r="AM980" s="109"/>
      <c r="AN980" s="109"/>
      <c r="AO980" s="109"/>
      <c r="AP980" s="109"/>
      <c r="AQ980" s="109"/>
      <c r="AR980" s="109"/>
      <c r="AS980" s="109"/>
      <c r="AT980" s="109"/>
      <c r="AU980" s="109"/>
    </row>
    <row r="981" spans="1:47" ht="14.25" customHeight="1" x14ac:dyDescent="0.3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  <c r="AD981" s="109"/>
      <c r="AE981" s="109"/>
      <c r="AF981" s="109"/>
      <c r="AG981" s="109"/>
      <c r="AH981" s="109"/>
      <c r="AI981" s="109"/>
      <c r="AJ981" s="109"/>
      <c r="AK981" s="109"/>
      <c r="AL981" s="109"/>
      <c r="AM981" s="109"/>
      <c r="AN981" s="109"/>
      <c r="AO981" s="109"/>
      <c r="AP981" s="109"/>
      <c r="AQ981" s="109"/>
      <c r="AR981" s="109"/>
      <c r="AS981" s="109"/>
      <c r="AT981" s="109"/>
      <c r="AU981" s="109"/>
    </row>
    <row r="982" spans="1:47" ht="14.25" customHeight="1" x14ac:dyDescent="0.3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  <c r="AD982" s="109"/>
      <c r="AE982" s="109"/>
      <c r="AF982" s="109"/>
      <c r="AG982" s="109"/>
      <c r="AH982" s="109"/>
      <c r="AI982" s="109"/>
      <c r="AJ982" s="109"/>
      <c r="AK982" s="109"/>
      <c r="AL982" s="109"/>
      <c r="AM982" s="109"/>
      <c r="AN982" s="109"/>
      <c r="AO982" s="109"/>
      <c r="AP982" s="109"/>
      <c r="AQ982" s="109"/>
      <c r="AR982" s="109"/>
      <c r="AS982" s="109"/>
      <c r="AT982" s="109"/>
      <c r="AU982" s="109"/>
    </row>
    <row r="983" spans="1:47" ht="14.25" customHeight="1" x14ac:dyDescent="0.3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  <c r="AD983" s="109"/>
      <c r="AE983" s="109"/>
      <c r="AF983" s="109"/>
      <c r="AG983" s="109"/>
      <c r="AH983" s="109"/>
      <c r="AI983" s="109"/>
      <c r="AJ983" s="109"/>
      <c r="AK983" s="109"/>
      <c r="AL983" s="109"/>
      <c r="AM983" s="109"/>
      <c r="AN983" s="109"/>
      <c r="AO983" s="109"/>
      <c r="AP983" s="109"/>
      <c r="AQ983" s="109"/>
      <c r="AR983" s="109"/>
      <c r="AS983" s="109"/>
      <c r="AT983" s="109"/>
      <c r="AU983" s="109"/>
    </row>
    <row r="984" spans="1:47" ht="14.25" customHeight="1" x14ac:dyDescent="0.3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  <c r="AD984" s="109"/>
      <c r="AE984" s="109"/>
      <c r="AF984" s="109"/>
      <c r="AG984" s="109"/>
      <c r="AH984" s="109"/>
      <c r="AI984" s="109"/>
      <c r="AJ984" s="109"/>
      <c r="AK984" s="109"/>
      <c r="AL984" s="109"/>
      <c r="AM984" s="109"/>
      <c r="AN984" s="109"/>
      <c r="AO984" s="109"/>
      <c r="AP984" s="109"/>
      <c r="AQ984" s="109"/>
      <c r="AR984" s="109"/>
      <c r="AS984" s="109"/>
      <c r="AT984" s="109"/>
      <c r="AU984" s="109"/>
    </row>
    <row r="985" spans="1:47" ht="14.25" customHeight="1" x14ac:dyDescent="0.3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  <c r="AD985" s="109"/>
      <c r="AE985" s="109"/>
      <c r="AF985" s="109"/>
      <c r="AG985" s="109"/>
      <c r="AH985" s="109"/>
      <c r="AI985" s="109"/>
      <c r="AJ985" s="109"/>
      <c r="AK985" s="109"/>
      <c r="AL985" s="109"/>
      <c r="AM985" s="109"/>
      <c r="AN985" s="109"/>
      <c r="AO985" s="109"/>
      <c r="AP985" s="109"/>
      <c r="AQ985" s="109"/>
      <c r="AR985" s="109"/>
      <c r="AS985" s="109"/>
      <c r="AT985" s="109"/>
      <c r="AU985" s="109"/>
    </row>
    <row r="986" spans="1:47" ht="14" x14ac:dyDescent="0.3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  <c r="AD986" s="109"/>
      <c r="AE986" s="109"/>
      <c r="AF986" s="109"/>
      <c r="AG986" s="109"/>
      <c r="AH986" s="109"/>
      <c r="AI986" s="109"/>
      <c r="AJ986" s="109"/>
      <c r="AK986" s="109"/>
      <c r="AL986" s="109"/>
      <c r="AM986" s="109"/>
      <c r="AN986" s="109"/>
      <c r="AO986" s="109"/>
      <c r="AP986" s="109"/>
      <c r="AQ986" s="109"/>
      <c r="AR986" s="109"/>
      <c r="AS986" s="109"/>
      <c r="AT986" s="109"/>
      <c r="AU986" s="109"/>
    </row>
    <row r="987" spans="1:47" ht="14" x14ac:dyDescent="0.3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  <c r="AD987" s="109"/>
      <c r="AE987" s="109"/>
      <c r="AF987" s="109"/>
      <c r="AG987" s="109"/>
      <c r="AH987" s="109"/>
      <c r="AI987" s="109"/>
      <c r="AJ987" s="109"/>
      <c r="AK987" s="109"/>
      <c r="AL987" s="109"/>
      <c r="AM987" s="109"/>
      <c r="AN987" s="109"/>
      <c r="AO987" s="109"/>
      <c r="AP987" s="109"/>
      <c r="AQ987" s="109"/>
      <c r="AR987" s="109"/>
      <c r="AS987" s="109"/>
      <c r="AT987" s="109"/>
      <c r="AU987" s="109"/>
    </row>
    <row r="988" spans="1:47" ht="14" x14ac:dyDescent="0.3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  <c r="AD988" s="109"/>
      <c r="AE988" s="109"/>
      <c r="AF988" s="109"/>
      <c r="AG988" s="109"/>
      <c r="AH988" s="109"/>
      <c r="AI988" s="109"/>
      <c r="AJ988" s="109"/>
      <c r="AK988" s="109"/>
      <c r="AL988" s="109"/>
      <c r="AM988" s="109"/>
      <c r="AN988" s="109"/>
      <c r="AO988" s="109"/>
      <c r="AP988" s="109"/>
      <c r="AQ988" s="109"/>
      <c r="AR988" s="109"/>
      <c r="AS988" s="109"/>
      <c r="AT988" s="109"/>
      <c r="AU988" s="109"/>
    </row>
    <row r="989" spans="1:47" ht="14" x14ac:dyDescent="0.3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  <c r="AD989" s="109"/>
      <c r="AE989" s="109"/>
      <c r="AF989" s="109"/>
      <c r="AG989" s="109"/>
      <c r="AH989" s="109"/>
      <c r="AI989" s="109"/>
      <c r="AJ989" s="109"/>
      <c r="AK989" s="109"/>
      <c r="AL989" s="109"/>
      <c r="AM989" s="109"/>
      <c r="AN989" s="109"/>
      <c r="AO989" s="109"/>
      <c r="AP989" s="109"/>
      <c r="AQ989" s="109"/>
      <c r="AR989" s="109"/>
      <c r="AS989" s="109"/>
      <c r="AT989" s="109"/>
      <c r="AU989" s="109"/>
    </row>
    <row r="990" spans="1:47" ht="14" x14ac:dyDescent="0.3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  <c r="AD990" s="110"/>
      <c r="AE990" s="110"/>
      <c r="AF990" s="110"/>
      <c r="AG990" s="110"/>
      <c r="AH990" s="110"/>
      <c r="AI990" s="110"/>
      <c r="AJ990" s="110"/>
      <c r="AK990" s="110"/>
      <c r="AL990" s="110"/>
      <c r="AM990" s="110"/>
      <c r="AN990" s="110"/>
      <c r="AO990" s="110"/>
      <c r="AP990" s="110"/>
      <c r="AQ990" s="110"/>
      <c r="AR990" s="110"/>
      <c r="AS990" s="110"/>
      <c r="AT990" s="110"/>
      <c r="AU990" s="110"/>
    </row>
  </sheetData>
  <mergeCells count="49">
    <mergeCell ref="V1:AR1"/>
    <mergeCell ref="X2:X3"/>
    <mergeCell ref="AR2:AR3"/>
    <mergeCell ref="AI2:AI3"/>
    <mergeCell ref="AD2:AD3"/>
    <mergeCell ref="Y2:Y3"/>
    <mergeCell ref="AB2:AB3"/>
    <mergeCell ref="AH2:AH3"/>
    <mergeCell ref="AJ2:AJ3"/>
    <mergeCell ref="AG2:AG3"/>
    <mergeCell ref="AE2:AE3"/>
    <mergeCell ref="W2:W3"/>
    <mergeCell ref="M2:M3"/>
    <mergeCell ref="T2:T3"/>
    <mergeCell ref="U2:U3"/>
    <mergeCell ref="AU1:AU3"/>
    <mergeCell ref="AT2:AT3"/>
    <mergeCell ref="AS2:AS3"/>
    <mergeCell ref="Z2:Z3"/>
    <mergeCell ref="AA2:AA3"/>
    <mergeCell ref="AK2:AK3"/>
    <mergeCell ref="AL2:AL3"/>
    <mergeCell ref="AN2:AN3"/>
    <mergeCell ref="AO2:AO3"/>
    <mergeCell ref="AQ2:AQ3"/>
    <mergeCell ref="AP2:AP3"/>
    <mergeCell ref="AM2:AM3"/>
    <mergeCell ref="AF2:AF3"/>
    <mergeCell ref="R2:S2"/>
    <mergeCell ref="Q2:Q3"/>
    <mergeCell ref="N2:N3"/>
    <mergeCell ref="O2:O3"/>
    <mergeCell ref="P2:P3"/>
    <mergeCell ref="G30:I30"/>
    <mergeCell ref="G2:G3"/>
    <mergeCell ref="A1:A3"/>
    <mergeCell ref="B1:B3"/>
    <mergeCell ref="AC2:AC3"/>
    <mergeCell ref="E2:E3"/>
    <mergeCell ref="J2:J3"/>
    <mergeCell ref="D2:D3"/>
    <mergeCell ref="K2:K3"/>
    <mergeCell ref="C1:S1"/>
    <mergeCell ref="H2:H3"/>
    <mergeCell ref="I2:I3"/>
    <mergeCell ref="C2:C3"/>
    <mergeCell ref="F2:F3"/>
    <mergeCell ref="L2:L3"/>
    <mergeCell ref="V2:V3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4A86E8"/>
  </sheetPr>
  <dimension ref="A1:AU990"/>
  <sheetViews>
    <sheetView topLeftCell="A16" workbookViewId="0">
      <selection activeCell="D37" sqref="D37"/>
    </sheetView>
  </sheetViews>
  <sheetFormatPr defaultColWidth="12.58203125" defaultRowHeight="15" customHeight="1" x14ac:dyDescent="0.3"/>
  <cols>
    <col min="1" max="1" width="4.75" customWidth="1"/>
    <col min="2" max="2" width="19.58203125" customWidth="1"/>
    <col min="3" max="4" width="10.83203125" customWidth="1"/>
    <col min="5" max="5" width="8.83203125" customWidth="1"/>
    <col min="6" max="6" width="9.58203125" customWidth="1"/>
    <col min="7" max="7" width="14.5" customWidth="1"/>
    <col min="8" max="8" width="12.83203125" customWidth="1"/>
    <col min="9" max="9" width="9.75" customWidth="1"/>
    <col min="10" max="10" width="7.58203125" customWidth="1"/>
    <col min="11" max="11" width="10.08203125" customWidth="1"/>
    <col min="12" max="12" width="14" customWidth="1"/>
    <col min="13" max="13" width="7.58203125" customWidth="1"/>
    <col min="14" max="14" width="12.08203125" customWidth="1"/>
    <col min="15" max="15" width="7.58203125" customWidth="1"/>
    <col min="16" max="16" width="10.33203125" customWidth="1"/>
    <col min="17" max="17" width="12.58203125" customWidth="1"/>
    <col min="18" max="18" width="10.83203125" customWidth="1"/>
    <col min="19" max="19" width="7.58203125" customWidth="1"/>
    <col min="20" max="20" width="9.08203125" customWidth="1"/>
    <col min="21" max="21" width="13.58203125" customWidth="1"/>
    <col min="22" max="22" width="12.5" customWidth="1"/>
    <col min="23" max="23" width="11.08203125" customWidth="1"/>
    <col min="24" max="24" width="10.58203125" customWidth="1"/>
    <col min="25" max="25" width="10.75" customWidth="1"/>
    <col min="26" max="26" width="12.08203125" customWidth="1"/>
    <col min="27" max="27" width="13.5" customWidth="1"/>
    <col min="28" max="28" width="9.08203125" customWidth="1"/>
    <col min="29" max="29" width="7.58203125" customWidth="1"/>
    <col min="30" max="30" width="9.5" customWidth="1"/>
    <col min="31" max="31" width="12.33203125" customWidth="1"/>
    <col min="32" max="32" width="18.75" customWidth="1"/>
    <col min="33" max="33" width="10.33203125" customWidth="1"/>
    <col min="34" max="34" width="7.58203125" customWidth="1"/>
    <col min="35" max="35" width="8.83203125" customWidth="1"/>
    <col min="36" max="36" width="13.25" customWidth="1"/>
    <col min="37" max="37" width="10.75" customWidth="1"/>
    <col min="38" max="38" width="11.75" customWidth="1"/>
    <col min="39" max="39" width="7.58203125" customWidth="1"/>
    <col min="40" max="40" width="10.33203125" customWidth="1"/>
    <col min="41" max="41" width="12.25" customWidth="1"/>
    <col min="42" max="42" width="21.33203125" customWidth="1"/>
    <col min="43" max="43" width="9.75" customWidth="1"/>
    <col min="44" max="44" width="7.58203125" customWidth="1"/>
    <col min="45" max="45" width="9.75" customWidth="1"/>
    <col min="46" max="46" width="12.83203125" customWidth="1"/>
    <col min="47" max="47" width="16.58203125" customWidth="1"/>
  </cols>
  <sheetData>
    <row r="1" spans="1:47" ht="14.25" customHeight="1" x14ac:dyDescent="0.3">
      <c r="A1" s="395" t="s">
        <v>0</v>
      </c>
      <c r="B1" s="396" t="s">
        <v>104</v>
      </c>
      <c r="C1" s="398" t="s">
        <v>3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  <c r="T1" s="122"/>
      <c r="U1" s="122"/>
      <c r="V1" s="402" t="s">
        <v>4</v>
      </c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2"/>
      <c r="AS1" s="123"/>
      <c r="AT1" s="123"/>
      <c r="AU1" s="401" t="s">
        <v>5</v>
      </c>
    </row>
    <row r="2" spans="1:47" ht="14.25" customHeight="1" x14ac:dyDescent="0.3">
      <c r="A2" s="389"/>
      <c r="B2" s="353"/>
      <c r="C2" s="397" t="s">
        <v>6</v>
      </c>
      <c r="D2" s="397" t="s">
        <v>7</v>
      </c>
      <c r="E2" s="397" t="s">
        <v>8</v>
      </c>
      <c r="F2" s="397" t="s">
        <v>85</v>
      </c>
      <c r="G2" s="397" t="s">
        <v>86</v>
      </c>
      <c r="H2" s="397" t="s">
        <v>9</v>
      </c>
      <c r="I2" s="397" t="s">
        <v>7</v>
      </c>
      <c r="J2" s="397" t="s">
        <v>8</v>
      </c>
      <c r="K2" s="397" t="s">
        <v>85</v>
      </c>
      <c r="L2" s="397" t="s">
        <v>86</v>
      </c>
      <c r="M2" s="397" t="s">
        <v>105</v>
      </c>
      <c r="N2" s="397" t="s">
        <v>7</v>
      </c>
      <c r="O2" s="397" t="s">
        <v>8</v>
      </c>
      <c r="P2" s="397" t="s">
        <v>85</v>
      </c>
      <c r="Q2" s="397" t="s">
        <v>86</v>
      </c>
      <c r="R2" s="399" t="s">
        <v>11</v>
      </c>
      <c r="S2" s="372"/>
      <c r="T2" s="397" t="s">
        <v>85</v>
      </c>
      <c r="U2" s="397" t="s">
        <v>86</v>
      </c>
      <c r="V2" s="400" t="s">
        <v>12</v>
      </c>
      <c r="W2" s="400" t="s">
        <v>7</v>
      </c>
      <c r="X2" s="400" t="s">
        <v>8</v>
      </c>
      <c r="Y2" s="400" t="s">
        <v>85</v>
      </c>
      <c r="Z2" s="400" t="s">
        <v>131</v>
      </c>
      <c r="AA2" s="400" t="s">
        <v>13</v>
      </c>
      <c r="AB2" s="400" t="s">
        <v>7</v>
      </c>
      <c r="AC2" s="400" t="s">
        <v>8</v>
      </c>
      <c r="AD2" s="400" t="s">
        <v>85</v>
      </c>
      <c r="AE2" s="400" t="s">
        <v>131</v>
      </c>
      <c r="AF2" s="400" t="s">
        <v>14</v>
      </c>
      <c r="AG2" s="400" t="s">
        <v>7</v>
      </c>
      <c r="AH2" s="400" t="s">
        <v>8</v>
      </c>
      <c r="AI2" s="400" t="s">
        <v>85</v>
      </c>
      <c r="AJ2" s="400" t="s">
        <v>131</v>
      </c>
      <c r="AK2" s="400" t="s">
        <v>15</v>
      </c>
      <c r="AL2" s="400" t="s">
        <v>7</v>
      </c>
      <c r="AM2" s="400" t="s">
        <v>8</v>
      </c>
      <c r="AN2" s="400" t="s">
        <v>85</v>
      </c>
      <c r="AO2" s="400" t="s">
        <v>131</v>
      </c>
      <c r="AP2" s="400" t="s">
        <v>16</v>
      </c>
      <c r="AQ2" s="400" t="s">
        <v>7</v>
      </c>
      <c r="AR2" s="400" t="s">
        <v>8</v>
      </c>
      <c r="AS2" s="400" t="s">
        <v>85</v>
      </c>
      <c r="AT2" s="400" t="s">
        <v>131</v>
      </c>
      <c r="AU2" s="353"/>
    </row>
    <row r="3" spans="1:47" ht="14.25" customHeight="1" x14ac:dyDescent="0.3">
      <c r="A3" s="390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124" t="s">
        <v>17</v>
      </c>
      <c r="S3" s="124" t="s">
        <v>8</v>
      </c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</row>
    <row r="4" spans="1:47" ht="14.25" customHeight="1" x14ac:dyDescent="0.3">
      <c r="A4" s="76">
        <v>1</v>
      </c>
      <c r="B4" s="77" t="s">
        <v>100</v>
      </c>
      <c r="C4" s="78"/>
      <c r="D4" s="78"/>
      <c r="E4" s="78"/>
      <c r="F4" s="78"/>
      <c r="G4" s="78"/>
      <c r="H4" s="78"/>
      <c r="I4" s="78"/>
      <c r="J4" s="78"/>
      <c r="K4" s="97"/>
      <c r="L4" s="97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97"/>
      <c r="AE4" s="97"/>
      <c r="AF4" s="78"/>
      <c r="AG4" s="78"/>
      <c r="AH4" s="78"/>
      <c r="AI4" s="78"/>
      <c r="AJ4" s="78"/>
      <c r="AK4" s="78"/>
      <c r="AL4" s="78"/>
      <c r="AM4" s="78"/>
      <c r="AN4" s="97"/>
      <c r="AO4" s="97"/>
      <c r="AP4" s="78"/>
      <c r="AQ4" s="78"/>
      <c r="AR4" s="78"/>
      <c r="AS4" s="97"/>
      <c r="AT4" s="97"/>
      <c r="AU4" s="79"/>
    </row>
    <row r="5" spans="1:47" ht="14.25" customHeight="1" x14ac:dyDescent="0.3">
      <c r="A5" s="79"/>
      <c r="B5" s="79" t="s">
        <v>106</v>
      </c>
      <c r="C5" s="80" t="s">
        <v>107</v>
      </c>
      <c r="D5" s="111">
        <f>'UT Unit Fungsi'!D5</f>
        <v>1.095049968418018E-4</v>
      </c>
      <c r="E5" s="188" t="s">
        <v>199</v>
      </c>
      <c r="F5" s="111">
        <f>CF!I4</f>
        <v>5.3700000000000004E-5</v>
      </c>
      <c r="G5" s="111">
        <f t="shared" ref="G5:G7" si="0">D5*F5</f>
        <v>5.8804183304047569E-9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9"/>
    </row>
    <row r="6" spans="1:47" ht="14.25" customHeight="1" x14ac:dyDescent="0.3">
      <c r="A6" s="79"/>
      <c r="B6" s="79" t="s">
        <v>108</v>
      </c>
      <c r="C6" s="80" t="s">
        <v>109</v>
      </c>
      <c r="D6" s="111">
        <f>'UT Unit Fungsi'!D6</f>
        <v>1.9087843472699963E-2</v>
      </c>
      <c r="E6" s="188" t="s">
        <v>209</v>
      </c>
      <c r="F6" s="125">
        <v>0</v>
      </c>
      <c r="G6" s="111">
        <f t="shared" si="0"/>
        <v>0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80" t="s">
        <v>111</v>
      </c>
      <c r="AB6" s="111">
        <f>Utilitas!R6/Utilitas!C30</f>
        <v>1.9087843472699963E-2</v>
      </c>
      <c r="AC6" s="188" t="s">
        <v>209</v>
      </c>
      <c r="AD6" s="125">
        <v>0</v>
      </c>
      <c r="AE6" s="111">
        <f>AB6*AD6</f>
        <v>0</v>
      </c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80" t="s">
        <v>112</v>
      </c>
      <c r="AQ6" s="111">
        <f>Utilitas!AA6/Utilitas!C30</f>
        <v>3.8175686945399931E-7</v>
      </c>
      <c r="AR6" s="188" t="s">
        <v>203</v>
      </c>
      <c r="AS6" s="118">
        <f>CF!I24</f>
        <v>1.1900000000000001E-2</v>
      </c>
      <c r="AT6" s="111">
        <f>AQ6*AS6</f>
        <v>4.5429067465025925E-9</v>
      </c>
      <c r="AU6" s="79"/>
    </row>
    <row r="7" spans="1:47" ht="14.25" customHeight="1" x14ac:dyDescent="0.3">
      <c r="A7" s="79"/>
      <c r="B7" s="79"/>
      <c r="C7" s="80" t="s">
        <v>113</v>
      </c>
      <c r="D7" s="111">
        <f>'UT Unit Fungsi'!D7</f>
        <v>3.8175686945399923E-5</v>
      </c>
      <c r="E7" s="188" t="s">
        <v>202</v>
      </c>
      <c r="F7" s="125">
        <v>0</v>
      </c>
      <c r="G7" s="111">
        <f t="shared" si="0"/>
        <v>0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112"/>
      <c r="AR7" s="78"/>
      <c r="AS7" s="78"/>
      <c r="AT7" s="78"/>
      <c r="AU7" s="79"/>
    </row>
    <row r="8" spans="1:47" ht="14.25" customHeight="1" x14ac:dyDescent="0.3">
      <c r="A8" s="79"/>
      <c r="B8" s="79" t="s">
        <v>114</v>
      </c>
      <c r="C8" s="78"/>
      <c r="D8" s="85"/>
      <c r="E8" s="85"/>
      <c r="F8" s="85"/>
      <c r="G8" s="85"/>
      <c r="H8" s="80" t="s">
        <v>22</v>
      </c>
      <c r="I8" s="111">
        <f>'UT Unit Fungsi'!G8</f>
        <v>6.6825250072615507E-3</v>
      </c>
      <c r="J8" s="188" t="s">
        <v>203</v>
      </c>
      <c r="K8" s="111">
        <f>CF!I7</f>
        <v>6.3500000000000004E-4</v>
      </c>
      <c r="L8" s="111">
        <f>I8*K8</f>
        <v>4.2434033796110847E-6</v>
      </c>
      <c r="M8" s="78"/>
      <c r="N8" s="78"/>
      <c r="O8" s="78"/>
      <c r="P8" s="78"/>
      <c r="Q8" s="78"/>
      <c r="R8" s="78"/>
      <c r="S8" s="78"/>
      <c r="T8" s="78"/>
      <c r="U8" s="78"/>
      <c r="V8" s="87" t="s">
        <v>24</v>
      </c>
      <c r="W8" s="111">
        <f>Utilitas!O8/Utilitas!C30</f>
        <v>3.4084522550674235E-8</v>
      </c>
      <c r="X8" s="20" t="s">
        <v>205</v>
      </c>
      <c r="Y8" s="126">
        <f>CF!I21</f>
        <v>2.7099999999999997E-4</v>
      </c>
      <c r="Z8" s="126">
        <f t="shared" ref="Z8:Z10" si="1">W8*Y8</f>
        <v>9.236905611232716E-12</v>
      </c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112"/>
      <c r="AR8" s="78"/>
      <c r="AS8" s="78"/>
      <c r="AT8" s="78"/>
      <c r="AU8" s="79"/>
    </row>
    <row r="9" spans="1:47" ht="14.25" customHeight="1" x14ac:dyDescent="0.3">
      <c r="A9" s="76"/>
      <c r="B9" s="79"/>
      <c r="C9" s="78"/>
      <c r="D9" s="85"/>
      <c r="E9" s="85"/>
      <c r="F9" s="85"/>
      <c r="G9" s="85"/>
      <c r="H9" s="78"/>
      <c r="I9" s="85"/>
      <c r="J9" s="85"/>
      <c r="K9" s="85"/>
      <c r="L9" s="85"/>
      <c r="M9" s="78"/>
      <c r="N9" s="89"/>
      <c r="O9" s="78"/>
      <c r="P9" s="78"/>
      <c r="Q9" s="78"/>
      <c r="R9" s="78"/>
      <c r="S9" s="78"/>
      <c r="T9" s="78"/>
      <c r="U9" s="78"/>
      <c r="V9" s="87" t="s">
        <v>29</v>
      </c>
      <c r="W9" s="111">
        <f>Utilitas!O9/Utilitas!C30</f>
        <v>5.1831000461322046E-7</v>
      </c>
      <c r="X9" s="18" t="s">
        <v>206</v>
      </c>
      <c r="Y9" s="127">
        <f>CF!I22</f>
        <v>2.2200000000000002E-3</v>
      </c>
      <c r="Z9" s="127">
        <f t="shared" si="1"/>
        <v>1.1506482102413494E-9</v>
      </c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90"/>
      <c r="AO9" s="90"/>
      <c r="AP9" s="90"/>
      <c r="AQ9" s="112"/>
      <c r="AR9" s="92"/>
      <c r="AS9" s="92"/>
      <c r="AT9" s="92"/>
      <c r="AU9" s="79"/>
    </row>
    <row r="10" spans="1:47" ht="14.25" customHeight="1" x14ac:dyDescent="0.3">
      <c r="A10" s="76"/>
      <c r="B10" s="79"/>
      <c r="C10" s="78"/>
      <c r="D10" s="85"/>
      <c r="E10" s="85"/>
      <c r="F10" s="85"/>
      <c r="G10" s="85"/>
      <c r="H10" s="78"/>
      <c r="I10" s="85"/>
      <c r="J10" s="85"/>
      <c r="K10" s="85"/>
      <c r="L10" s="85"/>
      <c r="M10" s="78"/>
      <c r="N10" s="89"/>
      <c r="O10" s="78"/>
      <c r="P10" s="78"/>
      <c r="Q10" s="78"/>
      <c r="R10" s="78"/>
      <c r="S10" s="78"/>
      <c r="T10" s="78"/>
      <c r="U10" s="78"/>
      <c r="V10" s="87" t="s">
        <v>31</v>
      </c>
      <c r="W10" s="111">
        <f>Utilitas!O10/Utilitas!C30</f>
        <v>2.0257163306103306E-5</v>
      </c>
      <c r="X10" s="18" t="s">
        <v>207</v>
      </c>
      <c r="Y10" s="127">
        <f>CF!I23</f>
        <v>9.4300000000000004E-4</v>
      </c>
      <c r="Z10" s="127">
        <f t="shared" si="1"/>
        <v>1.910250499765542E-8</v>
      </c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90"/>
      <c r="AO10" s="90"/>
      <c r="AP10" s="90"/>
      <c r="AQ10" s="112"/>
      <c r="AR10" s="92"/>
      <c r="AS10" s="92"/>
      <c r="AT10" s="92"/>
      <c r="AU10" s="79"/>
    </row>
    <row r="11" spans="1:47" ht="14.25" customHeight="1" x14ac:dyDescent="0.3">
      <c r="A11" s="76"/>
      <c r="B11" s="79"/>
      <c r="C11" s="78"/>
      <c r="D11" s="85"/>
      <c r="E11" s="85"/>
      <c r="F11" s="85"/>
      <c r="G11" s="85"/>
      <c r="H11" s="78"/>
      <c r="I11" s="85"/>
      <c r="J11" s="85"/>
      <c r="K11" s="85"/>
      <c r="L11" s="85"/>
      <c r="M11" s="78"/>
      <c r="N11" s="89"/>
      <c r="O11" s="78"/>
      <c r="P11" s="78"/>
      <c r="Q11" s="78"/>
      <c r="R11" s="78"/>
      <c r="S11" s="78"/>
      <c r="T11" s="78"/>
      <c r="U11" s="78"/>
      <c r="V11" s="78"/>
      <c r="W11" s="113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90"/>
      <c r="AO11" s="90"/>
      <c r="AP11" s="90"/>
      <c r="AQ11" s="112"/>
      <c r="AR11" s="92"/>
      <c r="AS11" s="92"/>
      <c r="AT11" s="92"/>
      <c r="AU11" s="79"/>
    </row>
    <row r="12" spans="1:47" ht="14.25" customHeight="1" x14ac:dyDescent="0.3">
      <c r="A12" s="76"/>
      <c r="B12" s="79"/>
      <c r="C12" s="78"/>
      <c r="D12" s="85"/>
      <c r="E12" s="85"/>
      <c r="F12" s="85"/>
      <c r="G12" s="85"/>
      <c r="H12" s="78"/>
      <c r="I12" s="85"/>
      <c r="J12" s="85"/>
      <c r="K12" s="85"/>
      <c r="L12" s="85"/>
      <c r="M12" s="78"/>
      <c r="N12" s="89"/>
      <c r="O12" s="78"/>
      <c r="P12" s="78"/>
      <c r="Q12" s="78"/>
      <c r="R12" s="78"/>
      <c r="S12" s="78"/>
      <c r="T12" s="78"/>
      <c r="U12" s="78"/>
      <c r="V12" s="78"/>
      <c r="W12" s="113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90"/>
      <c r="AO12" s="90"/>
      <c r="AP12" s="90"/>
      <c r="AQ12" s="112"/>
      <c r="AR12" s="92"/>
      <c r="AS12" s="92"/>
      <c r="AT12" s="92"/>
      <c r="AU12" s="79"/>
    </row>
    <row r="13" spans="1:47" ht="14.25" customHeight="1" x14ac:dyDescent="0.3">
      <c r="A13" s="76">
        <v>2</v>
      </c>
      <c r="B13" s="77" t="s">
        <v>101</v>
      </c>
      <c r="C13" s="78"/>
      <c r="D13" s="85"/>
      <c r="E13" s="85"/>
      <c r="F13" s="85"/>
      <c r="G13" s="85"/>
      <c r="H13" s="80" t="s">
        <v>22</v>
      </c>
      <c r="I13" s="111">
        <f>'UT Unit Fungsi'!G13</f>
        <v>1.3651443943405738E-2</v>
      </c>
      <c r="J13" s="188" t="s">
        <v>203</v>
      </c>
      <c r="K13" s="111">
        <f>K8</f>
        <v>6.3500000000000004E-4</v>
      </c>
      <c r="L13" s="111">
        <f>I13*K13</f>
        <v>8.6686669040626448E-6</v>
      </c>
      <c r="M13" s="80" t="s">
        <v>115</v>
      </c>
      <c r="N13" s="81">
        <f>Utilitas!J13/Utilitas!C30</f>
        <v>5.3429011325306891E-2</v>
      </c>
      <c r="O13" s="188" t="s">
        <v>203</v>
      </c>
      <c r="P13" s="125">
        <v>0</v>
      </c>
      <c r="Q13" s="86">
        <f t="shared" ref="Q13:Q14" si="2">N13*P13</f>
        <v>0</v>
      </c>
      <c r="R13" s="78"/>
      <c r="S13" s="78"/>
      <c r="T13" s="78"/>
      <c r="U13" s="78"/>
      <c r="V13" s="87" t="s">
        <v>24</v>
      </c>
      <c r="W13" s="111">
        <f>Utilitas!O13/Utilitas!C30</f>
        <v>6.962981035352022E-8</v>
      </c>
      <c r="X13" s="20" t="s">
        <v>205</v>
      </c>
      <c r="Y13" s="126">
        <f t="shared" ref="Y13:Y15" si="3">Y8</f>
        <v>2.7099999999999997E-4</v>
      </c>
      <c r="Z13" s="126">
        <f t="shared" ref="Z13:Z15" si="4">W13*Y13</f>
        <v>1.8869678605803978E-11</v>
      </c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80" t="s">
        <v>116</v>
      </c>
      <c r="AL13" s="94">
        <f>Utilitas!X13/Utilitas!C30</f>
        <v>3.6329210656642426E-3</v>
      </c>
      <c r="AM13" s="188" t="s">
        <v>200</v>
      </c>
      <c r="AN13" s="128">
        <f>CF!I12</f>
        <v>1.35E-2</v>
      </c>
      <c r="AO13" s="128">
        <f t="shared" ref="AO13:AO16" si="5">AL13*AN13</f>
        <v>4.9044434386467273E-5</v>
      </c>
      <c r="AP13" s="95" t="s">
        <v>117</v>
      </c>
      <c r="AQ13" s="111">
        <f>Utilitas!AA13/Utilitas!C30</f>
        <v>1.0685802265061379E-7</v>
      </c>
      <c r="AR13" s="188" t="s">
        <v>203</v>
      </c>
      <c r="AS13" s="129">
        <f>CF!I26</f>
        <v>1.24E-2</v>
      </c>
      <c r="AT13" s="130">
        <f t="shared" ref="AT13:AT14" si="6">AQ13*AS13</f>
        <v>1.3250394808676109E-9</v>
      </c>
      <c r="AU13" s="79"/>
    </row>
    <row r="14" spans="1:47" ht="14.25" customHeight="1" x14ac:dyDescent="0.3">
      <c r="A14" s="79"/>
      <c r="B14" s="79"/>
      <c r="C14" s="78"/>
      <c r="D14" s="85"/>
      <c r="E14" s="85"/>
      <c r="F14" s="85"/>
      <c r="G14" s="85"/>
      <c r="H14" s="78"/>
      <c r="I14" s="85"/>
      <c r="J14" s="85"/>
      <c r="K14" s="85"/>
      <c r="L14" s="85"/>
      <c r="M14" s="80" t="s">
        <v>118</v>
      </c>
      <c r="N14" s="81">
        <f>Utilitas!J14/Utilitas!C30</f>
        <v>1.9642121495572963E-2</v>
      </c>
      <c r="O14" s="188" t="s">
        <v>203</v>
      </c>
      <c r="P14" s="125">
        <f>CF!I32</f>
        <v>1.91E-3</v>
      </c>
      <c r="Q14" s="111">
        <f t="shared" si="2"/>
        <v>3.7516452056544363E-5</v>
      </c>
      <c r="R14" s="78"/>
      <c r="S14" s="78"/>
      <c r="T14" s="78"/>
      <c r="U14" s="78"/>
      <c r="V14" s="87" t="s">
        <v>29</v>
      </c>
      <c r="W14" s="111">
        <f>Utilitas!O14/Utilitas!C30</f>
        <v>1.058833295138436E-6</v>
      </c>
      <c r="X14" s="18" t="s">
        <v>206</v>
      </c>
      <c r="Y14" s="127">
        <f t="shared" si="3"/>
        <v>2.2200000000000002E-3</v>
      </c>
      <c r="Z14" s="127">
        <f t="shared" si="4"/>
        <v>2.350609915207328E-9</v>
      </c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80" t="s">
        <v>119</v>
      </c>
      <c r="AL14" s="94">
        <f>Utilitas!X14/Utilitas!C30</f>
        <v>6.5392579181956359E-2</v>
      </c>
      <c r="AM14" s="188" t="s">
        <v>203</v>
      </c>
      <c r="AN14" s="131">
        <v>0</v>
      </c>
      <c r="AO14" s="132">
        <f t="shared" si="5"/>
        <v>0</v>
      </c>
      <c r="AP14" s="95" t="s">
        <v>121</v>
      </c>
      <c r="AQ14" s="111">
        <f>Utilitas!AA14/Utilitas!C30</f>
        <v>3.9284242991145929E-8</v>
      </c>
      <c r="AR14" s="188" t="s">
        <v>203</v>
      </c>
      <c r="AS14" s="129">
        <f>AS13</f>
        <v>1.24E-2</v>
      </c>
      <c r="AT14" s="130">
        <f t="shared" si="6"/>
        <v>4.8712461309020949E-10</v>
      </c>
      <c r="AU14" s="79"/>
    </row>
    <row r="15" spans="1:47" ht="14.25" customHeight="1" x14ac:dyDescent="0.3">
      <c r="A15" s="79"/>
      <c r="B15" s="79"/>
      <c r="C15" s="78"/>
      <c r="D15" s="85"/>
      <c r="E15" s="85"/>
      <c r="F15" s="85"/>
      <c r="G15" s="85"/>
      <c r="H15" s="78"/>
      <c r="I15" s="85"/>
      <c r="J15" s="85"/>
      <c r="K15" s="85"/>
      <c r="L15" s="85"/>
      <c r="M15" s="78"/>
      <c r="N15" s="78"/>
      <c r="O15" s="78"/>
      <c r="P15" s="78"/>
      <c r="Q15" s="78"/>
      <c r="R15" s="78"/>
      <c r="S15" s="78"/>
      <c r="T15" s="78"/>
      <c r="U15" s="78"/>
      <c r="V15" s="87" t="s">
        <v>31</v>
      </c>
      <c r="W15" s="111">
        <f>Utilitas!O15/Utilitas!C30</f>
        <v>4.138249075389676E-5</v>
      </c>
      <c r="X15" s="18" t="s">
        <v>207</v>
      </c>
      <c r="Y15" s="127">
        <f t="shared" si="3"/>
        <v>9.4300000000000004E-4</v>
      </c>
      <c r="Z15" s="127">
        <f t="shared" si="4"/>
        <v>3.9023688780924645E-8</v>
      </c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80" t="s">
        <v>122</v>
      </c>
      <c r="AL15" s="94">
        <f>Utilitas!X15/Utilitas!C30</f>
        <v>7.2658421313284859E-5</v>
      </c>
      <c r="AM15" s="188" t="s">
        <v>203</v>
      </c>
      <c r="AN15" s="125">
        <v>0</v>
      </c>
      <c r="AO15" s="132">
        <f t="shared" si="5"/>
        <v>0</v>
      </c>
      <c r="AP15" s="78"/>
      <c r="AQ15" s="97"/>
      <c r="AR15" s="78"/>
      <c r="AS15" s="78"/>
      <c r="AT15" s="78"/>
      <c r="AU15" s="79"/>
    </row>
    <row r="16" spans="1:47" ht="14.25" customHeight="1" x14ac:dyDescent="0.3">
      <c r="A16" s="98"/>
      <c r="B16" s="98"/>
      <c r="C16" s="84"/>
      <c r="D16" s="99"/>
      <c r="E16" s="99"/>
      <c r="F16" s="99"/>
      <c r="G16" s="99"/>
      <c r="H16" s="84"/>
      <c r="I16" s="99"/>
      <c r="J16" s="99"/>
      <c r="K16" s="99"/>
      <c r="L16" s="99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115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101" t="s">
        <v>123</v>
      </c>
      <c r="AL16" s="102">
        <f>Utilitas!X16/Utilitas!C30</f>
        <v>3.2696289590978186E-3</v>
      </c>
      <c r="AM16" s="188" t="s">
        <v>203</v>
      </c>
      <c r="AN16" s="133">
        <v>0</v>
      </c>
      <c r="AO16" s="132">
        <f t="shared" si="5"/>
        <v>0</v>
      </c>
      <c r="AP16" s="84"/>
      <c r="AQ16" s="84"/>
      <c r="AR16" s="84"/>
      <c r="AS16" s="84"/>
      <c r="AT16" s="84"/>
      <c r="AU16" s="98"/>
    </row>
    <row r="17" spans="1:47" ht="12.75" customHeight="1" x14ac:dyDescent="0.3">
      <c r="A17" s="103"/>
      <c r="B17" s="98"/>
      <c r="C17" s="84"/>
      <c r="D17" s="99"/>
      <c r="E17" s="99"/>
      <c r="F17" s="99"/>
      <c r="G17" s="99"/>
      <c r="H17" s="84"/>
      <c r="I17" s="99"/>
      <c r="J17" s="99"/>
      <c r="K17" s="99"/>
      <c r="L17" s="99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115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98"/>
    </row>
    <row r="18" spans="1:47" ht="12.75" customHeight="1" x14ac:dyDescent="0.3">
      <c r="A18" s="76">
        <v>3</v>
      </c>
      <c r="B18" s="104" t="s">
        <v>102</v>
      </c>
      <c r="C18" s="78"/>
      <c r="D18" s="85"/>
      <c r="E18" s="85"/>
      <c r="F18" s="85"/>
      <c r="G18" s="85"/>
      <c r="H18" s="79" t="s">
        <v>22</v>
      </c>
      <c r="I18" s="116">
        <f>'UT Unit Fungsi'!G18</f>
        <v>2.2169610837840557</v>
      </c>
      <c r="J18" s="188" t="s">
        <v>203</v>
      </c>
      <c r="K18" s="116">
        <f>K8</f>
        <v>6.3500000000000004E-4</v>
      </c>
      <c r="L18" s="116">
        <f>I18*K18</f>
        <v>1.4077702882028754E-3</v>
      </c>
      <c r="M18" s="78"/>
      <c r="N18" s="78"/>
      <c r="O18" s="78"/>
      <c r="P18" s="78"/>
      <c r="Q18" s="78"/>
      <c r="R18" s="117">
        <f>Utilitas!L18/Utilitas!C30</f>
        <v>7.40849022395951E-4</v>
      </c>
      <c r="S18" s="190" t="s">
        <v>203</v>
      </c>
      <c r="T18" s="117">
        <f>CF!I10</f>
        <v>2.52E-6</v>
      </c>
      <c r="U18" s="117">
        <f>R18*T18</f>
        <v>1.8669395364377965E-9</v>
      </c>
      <c r="V18" s="87" t="s">
        <v>24</v>
      </c>
      <c r="W18" s="117">
        <f>Utilitas!O18/Utilitas!C30</f>
        <v>1.130771077879893E-5</v>
      </c>
      <c r="X18" s="20" t="s">
        <v>205</v>
      </c>
      <c r="Y18" s="126">
        <f t="shared" ref="Y18:Y20" si="7">Y8</f>
        <v>2.7099999999999997E-4</v>
      </c>
      <c r="Z18" s="126">
        <f t="shared" ref="Z18:Z20" si="8">W18*Y18</f>
        <v>3.0643896210545097E-9</v>
      </c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9"/>
    </row>
    <row r="19" spans="1:47" ht="14.25" customHeight="1" x14ac:dyDescent="0.3">
      <c r="A19" s="79"/>
      <c r="B19" s="77"/>
      <c r="C19" s="78"/>
      <c r="D19" s="85"/>
      <c r="E19" s="85"/>
      <c r="F19" s="85"/>
      <c r="G19" s="85"/>
      <c r="H19" s="78"/>
      <c r="I19" s="107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87" t="s">
        <v>29</v>
      </c>
      <c r="W19" s="117">
        <f>Utilitas!O19/Utilitas!C30</f>
        <v>1.7195193558045894E-4</v>
      </c>
      <c r="X19" s="18" t="s">
        <v>206</v>
      </c>
      <c r="Y19" s="127">
        <f t="shared" si="7"/>
        <v>2.2200000000000002E-3</v>
      </c>
      <c r="Z19" s="127">
        <f t="shared" si="8"/>
        <v>3.8173329698861885E-7</v>
      </c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9"/>
    </row>
    <row r="20" spans="1:47" ht="14.25" customHeight="1" x14ac:dyDescent="0.3">
      <c r="A20" s="79"/>
      <c r="B20" s="77"/>
      <c r="C20" s="78"/>
      <c r="D20" s="85"/>
      <c r="E20" s="85"/>
      <c r="F20" s="85"/>
      <c r="G20" s="85"/>
      <c r="H20" s="78"/>
      <c r="I20" s="107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87" t="s">
        <v>31</v>
      </c>
      <c r="W20" s="117">
        <f>Utilitas!O20/Utilitas!C30</f>
        <v>6.7204152126163026E-3</v>
      </c>
      <c r="X20" s="18" t="s">
        <v>207</v>
      </c>
      <c r="Y20" s="127">
        <f t="shared" si="7"/>
        <v>9.4300000000000004E-4</v>
      </c>
      <c r="Z20" s="127">
        <f t="shared" si="8"/>
        <v>6.337351545497174E-6</v>
      </c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9"/>
    </row>
    <row r="21" spans="1:47" ht="14.25" customHeight="1" x14ac:dyDescent="0.3">
      <c r="A21" s="79"/>
      <c r="B21" s="77"/>
      <c r="C21" s="78"/>
      <c r="D21" s="85"/>
      <c r="E21" s="85"/>
      <c r="F21" s="85"/>
      <c r="G21" s="85"/>
      <c r="H21" s="78"/>
      <c r="I21" s="107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85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9"/>
    </row>
    <row r="22" spans="1:47" ht="14.25" customHeight="1" x14ac:dyDescent="0.3">
      <c r="A22" s="76">
        <v>4</v>
      </c>
      <c r="B22" s="77" t="s">
        <v>103</v>
      </c>
      <c r="C22" s="80" t="s">
        <v>124</v>
      </c>
      <c r="D22" s="111">
        <f>'UT Unit Fungsi'!D22</f>
        <v>0.21396490426821876</v>
      </c>
      <c r="E22" s="188" t="s">
        <v>203</v>
      </c>
      <c r="F22" s="94">
        <v>0</v>
      </c>
      <c r="G22" s="111">
        <f t="shared" ref="G22:G28" si="9">D22*F22</f>
        <v>0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80" t="s">
        <v>124</v>
      </c>
      <c r="AG22" s="111">
        <f>Utilitas!U22/Utilitas!C30</f>
        <v>2.1398182754583456E-4</v>
      </c>
      <c r="AH22" s="188" t="s">
        <v>203</v>
      </c>
      <c r="AI22" s="111">
        <f>CF!I34</f>
        <v>8.7600000000000004E-4</v>
      </c>
      <c r="AJ22" s="111">
        <f t="shared" ref="AJ22:AJ28" si="10">AG22*AI22</f>
        <v>1.874480809301511E-7</v>
      </c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9"/>
    </row>
    <row r="23" spans="1:47" ht="14.25" customHeight="1" x14ac:dyDescent="0.3">
      <c r="A23" s="79"/>
      <c r="B23" s="79"/>
      <c r="C23" s="108" t="s">
        <v>125</v>
      </c>
      <c r="D23" s="111">
        <f>'UT Unit Fungsi'!D23</f>
        <v>2.3811919465810231E-3</v>
      </c>
      <c r="E23" s="188" t="s">
        <v>203</v>
      </c>
      <c r="F23" s="94">
        <v>0</v>
      </c>
      <c r="G23" s="111">
        <f t="shared" si="9"/>
        <v>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108" t="s">
        <v>125</v>
      </c>
      <c r="AG23" s="111">
        <f>Utilitas!U23/Utilitas!C30</f>
        <v>2.3811919465810231E-6</v>
      </c>
      <c r="AH23" s="188" t="s">
        <v>203</v>
      </c>
      <c r="AI23" s="125">
        <v>0</v>
      </c>
      <c r="AJ23" s="111">
        <f t="shared" si="10"/>
        <v>0</v>
      </c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9"/>
    </row>
    <row r="24" spans="1:47" ht="14.25" customHeight="1" x14ac:dyDescent="0.3">
      <c r="A24" s="79"/>
      <c r="B24" s="79"/>
      <c r="C24" s="108" t="s">
        <v>126</v>
      </c>
      <c r="D24" s="111">
        <f>'UT Unit Fungsi'!D24</f>
        <v>2.6502286676525925E-2</v>
      </c>
      <c r="E24" s="188" t="s">
        <v>203</v>
      </c>
      <c r="F24" s="94">
        <v>0</v>
      </c>
      <c r="G24" s="111">
        <f t="shared" si="9"/>
        <v>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108" t="s">
        <v>126</v>
      </c>
      <c r="AG24" s="111">
        <f>Utilitas!U24/Utilitas!C30</f>
        <v>2.6502286676525927E-5</v>
      </c>
      <c r="AH24" s="188" t="s">
        <v>203</v>
      </c>
      <c r="AI24" s="111">
        <f>CF!I29</f>
        <v>3.19E-6</v>
      </c>
      <c r="AJ24" s="111">
        <f t="shared" si="10"/>
        <v>8.4542294498117701E-11</v>
      </c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/>
    </row>
    <row r="25" spans="1:47" ht="14.25" customHeight="1" x14ac:dyDescent="0.3">
      <c r="A25" s="79"/>
      <c r="B25" s="79"/>
      <c r="C25" s="80" t="s">
        <v>127</v>
      </c>
      <c r="D25" s="111">
        <f>'UT Unit Fungsi'!D25</f>
        <v>4.7189908736343759E-3</v>
      </c>
      <c r="E25" s="188" t="s">
        <v>203</v>
      </c>
      <c r="F25" s="94">
        <v>0</v>
      </c>
      <c r="G25" s="111">
        <f t="shared" si="9"/>
        <v>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80" t="s">
        <v>127</v>
      </c>
      <c r="AG25" s="111">
        <f>Utilitas!U25/Utilitas!C30</f>
        <v>4.7189908736343763E-6</v>
      </c>
      <c r="AH25" s="188" t="s">
        <v>203</v>
      </c>
      <c r="AI25" s="111">
        <f>CF!I31</f>
        <v>1.8800000000000001E-2</v>
      </c>
      <c r="AJ25" s="111">
        <f t="shared" si="10"/>
        <v>8.8717028424326272E-8</v>
      </c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9"/>
    </row>
    <row r="26" spans="1:47" ht="14.25" customHeight="1" x14ac:dyDescent="0.3">
      <c r="A26" s="79"/>
      <c r="B26" s="79"/>
      <c r="C26" s="108" t="s">
        <v>128</v>
      </c>
      <c r="D26" s="118">
        <f>'UT Unit Fungsi'!D26</f>
        <v>5.0335902652099982E-3</v>
      </c>
      <c r="E26" s="188" t="s">
        <v>203</v>
      </c>
      <c r="F26" s="94">
        <v>0</v>
      </c>
      <c r="G26" s="111">
        <f t="shared" si="9"/>
        <v>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108" t="s">
        <v>128</v>
      </c>
      <c r="AG26" s="111">
        <f>Utilitas!U26/Utilitas!C30</f>
        <v>5.0335902652099982E-6</v>
      </c>
      <c r="AH26" s="188" t="s">
        <v>203</v>
      </c>
      <c r="AI26" s="111">
        <f>CF!I13</f>
        <v>0.114</v>
      </c>
      <c r="AJ26" s="111">
        <f t="shared" si="10"/>
        <v>5.7382929023393977E-7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9"/>
    </row>
    <row r="27" spans="1:47" ht="14.25" customHeight="1" x14ac:dyDescent="0.3">
      <c r="A27" s="79"/>
      <c r="B27" s="79"/>
      <c r="C27" s="108" t="s">
        <v>129</v>
      </c>
      <c r="D27" s="111">
        <f>'UT Unit Fungsi'!D27</f>
        <v>1.3180597136765854E-2</v>
      </c>
      <c r="E27" s="188" t="s">
        <v>203</v>
      </c>
      <c r="F27" s="94">
        <v>0</v>
      </c>
      <c r="G27" s="111">
        <f t="shared" si="9"/>
        <v>0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108" t="s">
        <v>129</v>
      </c>
      <c r="AG27" s="111">
        <f>Utilitas!U27/Utilitas!C30</f>
        <v>1.3180597136765854E-5</v>
      </c>
      <c r="AH27" s="188" t="s">
        <v>203</v>
      </c>
      <c r="AI27" s="111">
        <f>CF!I25</f>
        <v>4.5000000000000003E-5</v>
      </c>
      <c r="AJ27" s="111">
        <f t="shared" si="10"/>
        <v>5.9312687115446342E-10</v>
      </c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9"/>
    </row>
    <row r="28" spans="1:47" ht="14.25" customHeight="1" x14ac:dyDescent="0.3">
      <c r="A28" s="79"/>
      <c r="B28" s="79"/>
      <c r="C28" s="80" t="s">
        <v>130</v>
      </c>
      <c r="D28" s="111">
        <f>'UT Unit Fungsi'!D28</f>
        <v>1.4428178992951074E-3</v>
      </c>
      <c r="E28" s="188" t="s">
        <v>203</v>
      </c>
      <c r="F28" s="94">
        <v>0</v>
      </c>
      <c r="G28" s="111">
        <f t="shared" si="9"/>
        <v>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80" t="s">
        <v>130</v>
      </c>
      <c r="AG28" s="111">
        <f>Utilitas!U28/Utilitas!C30</f>
        <v>1.4428178992951075E-6</v>
      </c>
      <c r="AH28" s="188" t="s">
        <v>203</v>
      </c>
      <c r="AI28" s="111">
        <f>CF!I34</f>
        <v>8.7600000000000004E-4</v>
      </c>
      <c r="AJ28" s="111">
        <f t="shared" si="10"/>
        <v>1.2639084797825142E-9</v>
      </c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9"/>
    </row>
    <row r="29" spans="1:47" ht="14.25" customHeight="1" x14ac:dyDescent="0.3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</row>
    <row r="30" spans="1:47" ht="14.25" customHeight="1" x14ac:dyDescent="0.35">
      <c r="A30" s="109"/>
      <c r="B30" s="135" t="s">
        <v>98</v>
      </c>
      <c r="C30" s="109"/>
      <c r="D30" s="136" t="s">
        <v>100</v>
      </c>
      <c r="E30" s="137">
        <f>SUM(G5:G7,L8,Z8:Z10,AE6,AT6)</f>
        <v>4.2740890948014998E-6</v>
      </c>
      <c r="F30" s="109"/>
      <c r="G30" s="381" t="s">
        <v>210</v>
      </c>
      <c r="H30" s="381"/>
      <c r="I30" s="381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</row>
    <row r="31" spans="1:47" ht="14.25" customHeight="1" x14ac:dyDescent="0.35">
      <c r="A31" s="109"/>
      <c r="B31" s="304">
        <f>SUM(G5:G7,L8,L13,L18,Q13:Q14,U18,Z8:Z10,Z13:Z15,Z18:Z20,AE6,AJ22:AJ28,AO13:AO16,AT6,AT13:AT14)</f>
        <v>1.5148930881260974E-3</v>
      </c>
      <c r="C31" s="109"/>
      <c r="D31" s="136" t="s">
        <v>101</v>
      </c>
      <c r="E31" s="137">
        <f>SUM(L13,Q13:Q14,Z13:Z15,AO13:AO16,AT13:AT14)</f>
        <v>9.5272758679542996E-5</v>
      </c>
      <c r="F31" s="109"/>
      <c r="G31" s="197" t="s">
        <v>86</v>
      </c>
      <c r="H31" s="195" t="s">
        <v>211</v>
      </c>
      <c r="I31" s="197" t="s">
        <v>212</v>
      </c>
      <c r="J31" s="109"/>
      <c r="K31" s="109"/>
      <c r="L31" s="109"/>
      <c r="M31" s="10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</row>
    <row r="32" spans="1:47" ht="14.25" customHeight="1" x14ac:dyDescent="0.35">
      <c r="A32" s="109"/>
      <c r="B32" s="135" t="s">
        <v>99</v>
      </c>
      <c r="C32" s="109"/>
      <c r="D32" s="136" t="s">
        <v>102</v>
      </c>
      <c r="E32" s="137">
        <f>SUM(L18,U18,Z18:Z20)</f>
        <v>1.4144943043745187E-3</v>
      </c>
      <c r="F32" s="109"/>
      <c r="G32" s="215">
        <f>G5</f>
        <v>5.8804183304047569E-9</v>
      </c>
      <c r="H32" s="216">
        <f>(G32/$G$71)*100%</f>
        <v>3.8817381744600577E-6</v>
      </c>
      <c r="I32" s="220"/>
      <c r="J32" s="109"/>
      <c r="K32" s="109"/>
      <c r="L32" s="109"/>
      <c r="M32" s="109"/>
      <c r="N32" s="140"/>
      <c r="O32" s="139"/>
      <c r="P32" s="139"/>
      <c r="Q32" s="139"/>
      <c r="R32" s="139"/>
      <c r="S32" s="139"/>
      <c r="T32" s="139"/>
      <c r="U32" s="139"/>
      <c r="V32" s="139"/>
      <c r="W32" s="13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</row>
    <row r="33" spans="1:47" ht="14.25" customHeight="1" x14ac:dyDescent="0.3">
      <c r="A33" s="109"/>
      <c r="B33" s="109"/>
      <c r="C33" s="109"/>
      <c r="D33" s="136" t="s">
        <v>103</v>
      </c>
      <c r="E33" s="137">
        <f>SUM(AJ22:AJ28)</f>
        <v>8.5193597723385215E-7</v>
      </c>
      <c r="F33" s="109"/>
      <c r="G33" s="215">
        <f t="shared" ref="G33:G34" si="11">G6</f>
        <v>0</v>
      </c>
      <c r="H33" s="216">
        <f t="shared" ref="H33:H70" si="12">(G33/$G$71)*100%</f>
        <v>0</v>
      </c>
      <c r="I33" s="220"/>
      <c r="J33" s="109"/>
      <c r="K33" s="109"/>
      <c r="L33" s="109"/>
      <c r="M33" s="109"/>
      <c r="N33" s="141"/>
      <c r="O33" s="142"/>
      <c r="P33" s="142"/>
      <c r="Q33" s="142"/>
      <c r="R33" s="141"/>
      <c r="S33" s="139"/>
      <c r="T33" s="139"/>
      <c r="U33" s="139"/>
      <c r="V33" s="139"/>
      <c r="W33" s="13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</row>
    <row r="34" spans="1:47" ht="14.25" customHeight="1" x14ac:dyDescent="0.3">
      <c r="A34" s="109"/>
      <c r="B34" s="109"/>
      <c r="C34" s="109"/>
      <c r="D34" s="109"/>
      <c r="E34" s="137">
        <f>SUM(E30:E33)</f>
        <v>1.5148930881260971E-3</v>
      </c>
      <c r="F34" s="109"/>
      <c r="G34" s="215">
        <f t="shared" si="11"/>
        <v>0</v>
      </c>
      <c r="H34" s="216">
        <f t="shared" si="12"/>
        <v>0</v>
      </c>
      <c r="I34" s="220"/>
      <c r="J34" s="109"/>
      <c r="K34" s="109"/>
      <c r="L34" s="109"/>
      <c r="M34" s="109"/>
      <c r="N34" s="141"/>
      <c r="O34" s="142"/>
      <c r="P34" s="142"/>
      <c r="Q34" s="142"/>
      <c r="R34" s="141"/>
      <c r="S34" s="139"/>
      <c r="T34" s="139"/>
      <c r="U34" s="139"/>
      <c r="V34" s="139"/>
      <c r="W34" s="13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</row>
    <row r="35" spans="1:47" ht="14.25" customHeight="1" x14ac:dyDescent="0.3">
      <c r="A35" s="109"/>
      <c r="B35" s="109"/>
      <c r="C35" s="109"/>
      <c r="D35" s="109"/>
      <c r="E35" s="109"/>
      <c r="F35" s="109"/>
      <c r="G35" s="223">
        <f>G22</f>
        <v>0</v>
      </c>
      <c r="H35" s="224">
        <f t="shared" si="12"/>
        <v>0</v>
      </c>
      <c r="I35" s="229"/>
      <c r="J35" s="109"/>
      <c r="K35" s="109"/>
      <c r="L35" s="109"/>
      <c r="M35" s="109"/>
      <c r="N35" s="141"/>
      <c r="O35" s="142"/>
      <c r="P35" s="142"/>
      <c r="Q35" s="142"/>
      <c r="R35" s="141"/>
      <c r="S35" s="139"/>
      <c r="T35" s="139"/>
      <c r="U35" s="139"/>
      <c r="V35" s="139"/>
      <c r="W35" s="13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</row>
    <row r="36" spans="1:47" ht="14.25" customHeight="1" x14ac:dyDescent="0.3">
      <c r="A36" s="109"/>
      <c r="B36" s="109"/>
      <c r="C36" s="109"/>
      <c r="D36" s="109"/>
      <c r="E36" s="109"/>
      <c r="F36" s="109"/>
      <c r="G36" s="215">
        <f t="shared" ref="G36:G41" si="13">G23</f>
        <v>0</v>
      </c>
      <c r="H36" s="216">
        <f t="shared" si="12"/>
        <v>0</v>
      </c>
      <c r="I36" s="220"/>
      <c r="J36" s="109"/>
      <c r="K36" s="109"/>
      <c r="L36" s="109"/>
      <c r="M36" s="109"/>
      <c r="N36" s="141"/>
      <c r="O36" s="142"/>
      <c r="P36" s="142"/>
      <c r="Q36" s="142"/>
      <c r="R36" s="141"/>
      <c r="S36" s="139"/>
      <c r="T36" s="139"/>
      <c r="U36" s="139"/>
      <c r="V36" s="139"/>
      <c r="W36" s="13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</row>
    <row r="37" spans="1:47" ht="14.25" customHeight="1" x14ac:dyDescent="0.3">
      <c r="A37" s="109"/>
      <c r="B37" s="109"/>
      <c r="C37" s="109"/>
      <c r="D37" s="109"/>
      <c r="E37" s="109"/>
      <c r="F37" s="109"/>
      <c r="G37" s="215">
        <f t="shared" si="13"/>
        <v>0</v>
      </c>
      <c r="H37" s="216">
        <f t="shared" si="12"/>
        <v>0</v>
      </c>
      <c r="I37" s="220"/>
      <c r="J37" s="109"/>
      <c r="K37" s="109"/>
      <c r="L37" s="109"/>
      <c r="M37" s="109"/>
      <c r="N37" s="141"/>
      <c r="O37" s="142"/>
      <c r="P37" s="142"/>
      <c r="Q37" s="142"/>
      <c r="R37" s="141"/>
      <c r="S37" s="139"/>
      <c r="T37" s="139"/>
      <c r="U37" s="139"/>
      <c r="V37" s="139"/>
      <c r="W37" s="13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</row>
    <row r="38" spans="1:47" ht="14.25" customHeight="1" x14ac:dyDescent="0.3">
      <c r="A38" s="109"/>
      <c r="B38" s="109"/>
      <c r="C38" s="109"/>
      <c r="D38" s="109"/>
      <c r="E38" s="109"/>
      <c r="F38" s="109"/>
      <c r="G38" s="215">
        <f t="shared" si="13"/>
        <v>0</v>
      </c>
      <c r="H38" s="216">
        <f t="shared" si="12"/>
        <v>0</v>
      </c>
      <c r="I38" s="220"/>
      <c r="J38" s="109"/>
      <c r="K38" s="109"/>
      <c r="L38" s="109"/>
      <c r="M38" s="109"/>
      <c r="N38" s="141"/>
      <c r="O38" s="142"/>
      <c r="P38" s="142"/>
      <c r="Q38" s="142"/>
      <c r="R38" s="141"/>
      <c r="S38" s="139"/>
      <c r="T38" s="139"/>
      <c r="U38" s="139"/>
      <c r="V38" s="139"/>
      <c r="W38" s="13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</row>
    <row r="39" spans="1:47" ht="14.25" customHeight="1" x14ac:dyDescent="0.3">
      <c r="A39" s="109"/>
      <c r="B39" s="109"/>
      <c r="C39" s="109"/>
      <c r="D39" s="109"/>
      <c r="E39" s="109"/>
      <c r="F39" s="109"/>
      <c r="G39" s="223">
        <f t="shared" si="13"/>
        <v>0</v>
      </c>
      <c r="H39" s="224">
        <f t="shared" si="12"/>
        <v>0</v>
      </c>
      <c r="I39" s="229"/>
      <c r="J39" s="109"/>
      <c r="K39" s="109"/>
      <c r="L39" s="109"/>
      <c r="M39" s="109"/>
      <c r="N39" s="140"/>
      <c r="O39" s="139"/>
      <c r="P39" s="139"/>
      <c r="Q39" s="139"/>
      <c r="R39" s="141"/>
      <c r="S39" s="143"/>
      <c r="T39" s="143"/>
      <c r="U39" s="143"/>
      <c r="V39" s="143"/>
      <c r="W39" s="143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</row>
    <row r="40" spans="1:47" ht="14.25" customHeight="1" x14ac:dyDescent="0.3">
      <c r="A40" s="109"/>
      <c r="B40" s="109"/>
      <c r="C40" s="109"/>
      <c r="D40" s="109"/>
      <c r="E40" s="109"/>
      <c r="F40" s="109"/>
      <c r="G40" s="215">
        <f t="shared" si="13"/>
        <v>0</v>
      </c>
      <c r="H40" s="216">
        <f t="shared" si="12"/>
        <v>0</v>
      </c>
      <c r="I40" s="220"/>
      <c r="J40" s="109"/>
      <c r="K40" s="109"/>
      <c r="L40" s="109"/>
      <c r="M40" s="109"/>
      <c r="N40" s="144"/>
      <c r="O40" s="142"/>
      <c r="P40" s="142"/>
      <c r="Q40" s="142"/>
      <c r="R40" s="141"/>
      <c r="S40" s="143"/>
      <c r="T40" s="143"/>
      <c r="U40" s="143"/>
      <c r="V40" s="143"/>
      <c r="W40" s="143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</row>
    <row r="41" spans="1:47" ht="14.25" customHeight="1" x14ac:dyDescent="0.3">
      <c r="A41" s="109"/>
      <c r="B41" s="109"/>
      <c r="C41" s="109"/>
      <c r="D41" s="109"/>
      <c r="E41" s="109"/>
      <c r="F41" s="109"/>
      <c r="G41" s="223">
        <f t="shared" si="13"/>
        <v>0</v>
      </c>
      <c r="H41" s="224">
        <f t="shared" si="12"/>
        <v>0</v>
      </c>
      <c r="I41" s="225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</row>
    <row r="42" spans="1:47" ht="14.25" customHeight="1" x14ac:dyDescent="0.3">
      <c r="A42" s="109"/>
      <c r="B42" s="109"/>
      <c r="C42" s="109"/>
      <c r="D42" s="109"/>
      <c r="E42" s="109"/>
      <c r="F42" s="109"/>
      <c r="G42" s="215">
        <f>L8</f>
        <v>4.2434033796110847E-6</v>
      </c>
      <c r="H42" s="216">
        <f t="shared" si="12"/>
        <v>2.8011239953970074E-3</v>
      </c>
      <c r="I42" s="220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</row>
    <row r="43" spans="1:47" ht="14.25" customHeight="1" x14ac:dyDescent="0.3">
      <c r="A43" s="109"/>
      <c r="B43" s="109"/>
      <c r="C43" s="109"/>
      <c r="D43" s="109"/>
      <c r="E43" s="109"/>
      <c r="F43" s="109"/>
      <c r="G43" s="215">
        <f>L13</f>
        <v>8.6686669040626448E-6</v>
      </c>
      <c r="H43" s="216">
        <f t="shared" si="12"/>
        <v>5.722296162025315E-3</v>
      </c>
      <c r="I43" s="220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</row>
    <row r="44" spans="1:47" ht="14.25" customHeight="1" x14ac:dyDescent="0.3">
      <c r="A44" s="109"/>
      <c r="B44" s="109"/>
      <c r="C44" s="109"/>
      <c r="D44" s="109"/>
      <c r="E44" s="109"/>
      <c r="F44" s="109"/>
      <c r="G44" s="221">
        <f>L18</f>
        <v>1.4077702882028754E-3</v>
      </c>
      <c r="H44" s="222">
        <f t="shared" si="12"/>
        <v>0.92928689109293416</v>
      </c>
      <c r="I44" s="246" t="s">
        <v>248</v>
      </c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</row>
    <row r="45" spans="1:47" ht="14.25" customHeight="1" x14ac:dyDescent="0.3">
      <c r="A45" s="109"/>
      <c r="B45" s="109"/>
      <c r="C45" s="109"/>
      <c r="D45" s="109"/>
      <c r="E45" s="109"/>
      <c r="F45" s="109"/>
      <c r="G45" s="217">
        <f>Q13</f>
        <v>0</v>
      </c>
      <c r="H45" s="216">
        <f t="shared" si="12"/>
        <v>0</v>
      </c>
      <c r="I45" s="220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</row>
    <row r="46" spans="1:47" ht="14.25" customHeight="1" x14ac:dyDescent="0.3">
      <c r="A46" s="109"/>
      <c r="B46" s="109"/>
      <c r="C46" s="109"/>
      <c r="D46" s="109"/>
      <c r="E46" s="109"/>
      <c r="F46" s="109"/>
      <c r="G46" s="217">
        <f>Q14</f>
        <v>3.7516452056544363E-5</v>
      </c>
      <c r="H46" s="216">
        <f t="shared" si="12"/>
        <v>2.4765082335250283E-2</v>
      </c>
      <c r="I46" s="220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</row>
    <row r="47" spans="1:47" ht="14.25" customHeight="1" x14ac:dyDescent="0.3">
      <c r="A47" s="109"/>
      <c r="B47" s="109"/>
      <c r="C47" s="109"/>
      <c r="D47" s="109"/>
      <c r="E47" s="109"/>
      <c r="F47" s="109"/>
      <c r="G47" s="215">
        <f>U18</f>
        <v>1.8669395364377965E-9</v>
      </c>
      <c r="H47" s="216">
        <f t="shared" si="12"/>
        <v>1.2323902928009105E-6</v>
      </c>
      <c r="I47" s="220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</row>
    <row r="48" spans="1:47" ht="14.25" customHeight="1" x14ac:dyDescent="0.3">
      <c r="A48" s="109"/>
      <c r="B48" s="109"/>
      <c r="C48" s="109"/>
      <c r="D48" s="109"/>
      <c r="E48" s="109"/>
      <c r="F48" s="109"/>
      <c r="G48" s="215">
        <f>Z8</f>
        <v>9.236905611232716E-12</v>
      </c>
      <c r="H48" s="216">
        <f t="shared" si="12"/>
        <v>6.097397686762599E-9</v>
      </c>
      <c r="I48" s="220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</row>
    <row r="49" spans="1:47" ht="14.25" customHeight="1" x14ac:dyDescent="0.3">
      <c r="A49" s="109"/>
      <c r="B49" s="109"/>
      <c r="C49" s="109"/>
      <c r="D49" s="109"/>
      <c r="E49" s="109"/>
      <c r="F49" s="109"/>
      <c r="G49" s="215">
        <f t="shared" ref="G49:G50" si="14">Z9</f>
        <v>1.1506482102413494E-9</v>
      </c>
      <c r="H49" s="216">
        <f t="shared" si="12"/>
        <v>7.5955737025949865E-7</v>
      </c>
      <c r="I49" s="220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</row>
    <row r="50" spans="1:47" ht="14.25" customHeight="1" x14ac:dyDescent="0.3">
      <c r="A50" s="109"/>
      <c r="B50" s="109"/>
      <c r="C50" s="109"/>
      <c r="D50" s="109"/>
      <c r="E50" s="109"/>
      <c r="F50" s="109"/>
      <c r="G50" s="215">
        <f t="shared" si="14"/>
        <v>1.910250499765542E-8</v>
      </c>
      <c r="H50" s="216">
        <f t="shared" si="12"/>
        <v>1.2609804049792691E-5</v>
      </c>
      <c r="I50" s="220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</row>
    <row r="51" spans="1:47" ht="14.25" customHeight="1" x14ac:dyDescent="0.3">
      <c r="A51" s="109"/>
      <c r="B51" s="109"/>
      <c r="C51" s="109"/>
      <c r="D51" s="109"/>
      <c r="E51" s="109"/>
      <c r="F51" s="109"/>
      <c r="G51" s="215">
        <f>Z13</f>
        <v>1.8869678605803978E-11</v>
      </c>
      <c r="H51" s="216">
        <f t="shared" si="12"/>
        <v>1.2456112417243596E-8</v>
      </c>
      <c r="I51" s="220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</row>
    <row r="52" spans="1:47" ht="14.25" customHeight="1" x14ac:dyDescent="0.3">
      <c r="A52" s="109"/>
      <c r="B52" s="109"/>
      <c r="C52" s="109"/>
      <c r="D52" s="109"/>
      <c r="E52" s="109"/>
      <c r="F52" s="109"/>
      <c r="G52" s="215">
        <f t="shared" ref="G52:G53" si="15">Z14</f>
        <v>2.350609915207328E-9</v>
      </c>
      <c r="H52" s="216">
        <f t="shared" si="12"/>
        <v>1.5516671992444042E-6</v>
      </c>
      <c r="I52" s="220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</row>
    <row r="53" spans="1:47" ht="14.25" customHeight="1" x14ac:dyDescent="0.3">
      <c r="A53" s="109"/>
      <c r="B53" s="109"/>
      <c r="C53" s="109"/>
      <c r="D53" s="109"/>
      <c r="E53" s="109"/>
      <c r="F53" s="109"/>
      <c r="G53" s="215">
        <f t="shared" si="15"/>
        <v>3.9023688780924645E-8</v>
      </c>
      <c r="H53" s="216">
        <f t="shared" si="12"/>
        <v>2.5760028273147929E-5</v>
      </c>
      <c r="I53" s="220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</row>
    <row r="54" spans="1:47" ht="14.25" customHeight="1" x14ac:dyDescent="0.3">
      <c r="A54" s="109"/>
      <c r="B54" s="109"/>
      <c r="C54" s="109"/>
      <c r="D54" s="109"/>
      <c r="E54" s="109"/>
      <c r="F54" s="109"/>
      <c r="G54" s="215">
        <f>Z18</f>
        <v>3.0643896210545097E-9</v>
      </c>
      <c r="H54" s="216">
        <f t="shared" si="12"/>
        <v>2.0228421695719259E-6</v>
      </c>
      <c r="I54" s="220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</row>
    <row r="55" spans="1:47" ht="14.25" customHeight="1" x14ac:dyDescent="0.3">
      <c r="A55" s="109"/>
      <c r="B55" s="109"/>
      <c r="C55" s="109"/>
      <c r="D55" s="109"/>
      <c r="E55" s="109"/>
      <c r="F55" s="109"/>
      <c r="G55" s="215">
        <f t="shared" ref="G55:G56" si="16">Z19</f>
        <v>3.8173329698861885E-7</v>
      </c>
      <c r="H55" s="216">
        <f t="shared" si="12"/>
        <v>2.5198695537043993E-4</v>
      </c>
      <c r="I55" s="220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</row>
    <row r="56" spans="1:47" ht="14.25" customHeight="1" x14ac:dyDescent="0.3">
      <c r="A56" s="109"/>
      <c r="B56" s="109"/>
      <c r="C56" s="109"/>
      <c r="D56" s="109"/>
      <c r="E56" s="109"/>
      <c r="F56" s="109"/>
      <c r="G56" s="215">
        <f t="shared" si="16"/>
        <v>6.337351545497174E-6</v>
      </c>
      <c r="H56" s="216">
        <f t="shared" si="12"/>
        <v>4.1833655425389743E-3</v>
      </c>
      <c r="I56" s="220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</row>
    <row r="57" spans="1:47" ht="14.25" customHeight="1" x14ac:dyDescent="0.3">
      <c r="A57" s="109"/>
      <c r="B57" s="109"/>
      <c r="C57" s="109"/>
      <c r="D57" s="109"/>
      <c r="E57" s="109"/>
      <c r="F57" s="109"/>
      <c r="G57" s="215">
        <f>AE6</f>
        <v>0</v>
      </c>
      <c r="H57" s="216">
        <f t="shared" si="12"/>
        <v>0</v>
      </c>
      <c r="I57" s="220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</row>
    <row r="58" spans="1:47" ht="14.25" customHeight="1" x14ac:dyDescent="0.3">
      <c r="A58" s="109"/>
      <c r="B58" s="109"/>
      <c r="C58" s="109"/>
      <c r="D58" s="109"/>
      <c r="E58" s="109"/>
      <c r="F58" s="109"/>
      <c r="G58" s="215">
        <f>AJ22</f>
        <v>1.874480809301511E-7</v>
      </c>
      <c r="H58" s="216">
        <f t="shared" si="12"/>
        <v>1.2373683819629931E-4</v>
      </c>
      <c r="I58" s="220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</row>
    <row r="59" spans="1:47" ht="14.25" customHeight="1" x14ac:dyDescent="0.3">
      <c r="A59" s="109"/>
      <c r="B59" s="109"/>
      <c r="C59" s="109"/>
      <c r="D59" s="109"/>
      <c r="E59" s="109"/>
      <c r="F59" s="109"/>
      <c r="G59" s="215">
        <f t="shared" ref="G59:G64" si="17">AJ23</f>
        <v>0</v>
      </c>
      <c r="H59" s="216">
        <f t="shared" si="12"/>
        <v>0</v>
      </c>
      <c r="I59" s="220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</row>
    <row r="60" spans="1:47" ht="14.25" customHeight="1" x14ac:dyDescent="0.3">
      <c r="A60" s="109"/>
      <c r="B60" s="109"/>
      <c r="C60" s="109"/>
      <c r="D60" s="109"/>
      <c r="E60" s="109"/>
      <c r="F60" s="109"/>
      <c r="G60" s="215">
        <f t="shared" si="17"/>
        <v>8.4542294498117701E-11</v>
      </c>
      <c r="H60" s="216">
        <f t="shared" si="12"/>
        <v>5.5807432987033693E-8</v>
      </c>
      <c r="I60" s="220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</row>
    <row r="61" spans="1:47" ht="14.25" customHeight="1" x14ac:dyDescent="0.3">
      <c r="A61" s="109"/>
      <c r="B61" s="109"/>
      <c r="C61" s="109"/>
      <c r="D61" s="109"/>
      <c r="E61" s="109"/>
      <c r="F61" s="109"/>
      <c r="G61" s="215">
        <f t="shared" si="17"/>
        <v>8.8717028424326272E-8</v>
      </c>
      <c r="H61" s="216">
        <f t="shared" si="12"/>
        <v>5.8563227411690195E-5</v>
      </c>
      <c r="I61" s="220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</row>
    <row r="62" spans="1:47" ht="14.25" customHeight="1" x14ac:dyDescent="0.3">
      <c r="A62" s="109"/>
      <c r="B62" s="109"/>
      <c r="C62" s="109"/>
      <c r="D62" s="109"/>
      <c r="E62" s="109"/>
      <c r="F62" s="109"/>
      <c r="G62" s="215">
        <f t="shared" si="17"/>
        <v>5.7382929023393977E-7</v>
      </c>
      <c r="H62" s="216">
        <f t="shared" si="12"/>
        <v>3.787919390032725E-4</v>
      </c>
      <c r="I62" s="220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</row>
    <row r="63" spans="1:47" ht="14.25" customHeight="1" x14ac:dyDescent="0.3">
      <c r="A63" s="109"/>
      <c r="B63" s="109"/>
      <c r="C63" s="109"/>
      <c r="D63" s="109"/>
      <c r="E63" s="109"/>
      <c r="F63" s="109"/>
      <c r="G63" s="215">
        <f t="shared" si="17"/>
        <v>5.9312687115446342E-10</v>
      </c>
      <c r="H63" s="216">
        <f t="shared" si="12"/>
        <v>3.9153051512575949E-7</v>
      </c>
      <c r="I63" s="220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</row>
    <row r="64" spans="1:47" ht="14.25" customHeight="1" x14ac:dyDescent="0.3">
      <c r="A64" s="109"/>
      <c r="B64" s="109"/>
      <c r="C64" s="109"/>
      <c r="D64" s="109"/>
      <c r="E64" s="109"/>
      <c r="F64" s="109"/>
      <c r="G64" s="215">
        <f t="shared" si="17"/>
        <v>1.2639084797825142E-9</v>
      </c>
      <c r="H64" s="216">
        <f t="shared" si="12"/>
        <v>8.3432190013220822E-7</v>
      </c>
      <c r="I64" s="220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</row>
    <row r="65" spans="1:47" ht="14.25" customHeight="1" x14ac:dyDescent="0.3">
      <c r="A65" s="109"/>
      <c r="B65" s="109"/>
      <c r="C65" s="109"/>
      <c r="D65" s="109"/>
      <c r="E65" s="109"/>
      <c r="F65" s="109"/>
      <c r="G65" s="223">
        <f>AO13</f>
        <v>4.9044434386467273E-5</v>
      </c>
      <c r="H65" s="224">
        <f t="shared" si="12"/>
        <v>3.2374848608712439E-2</v>
      </c>
      <c r="I65" s="225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</row>
    <row r="66" spans="1:47" ht="14.25" customHeight="1" x14ac:dyDescent="0.3">
      <c r="A66" s="109"/>
      <c r="B66" s="109"/>
      <c r="C66" s="109"/>
      <c r="D66" s="109"/>
      <c r="E66" s="109"/>
      <c r="F66" s="109"/>
      <c r="G66" s="215">
        <f t="shared" ref="G66:G67" si="18">AO14</f>
        <v>0</v>
      </c>
      <c r="H66" s="216">
        <f t="shared" si="12"/>
        <v>0</v>
      </c>
      <c r="I66" s="220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</row>
    <row r="67" spans="1:47" ht="14.25" customHeight="1" x14ac:dyDescent="0.3">
      <c r="A67" s="109"/>
      <c r="B67" s="109"/>
      <c r="C67" s="109"/>
      <c r="D67" s="109"/>
      <c r="E67" s="109"/>
      <c r="F67" s="109"/>
      <c r="G67" s="215">
        <f t="shared" si="18"/>
        <v>0</v>
      </c>
      <c r="H67" s="216">
        <f t="shared" si="12"/>
        <v>0</v>
      </c>
      <c r="I67" s="220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</row>
    <row r="68" spans="1:47" ht="14.25" customHeight="1" x14ac:dyDescent="0.3">
      <c r="A68" s="109"/>
      <c r="B68" s="109"/>
      <c r="C68" s="109"/>
      <c r="D68" s="109"/>
      <c r="E68" s="109"/>
      <c r="F68" s="109"/>
      <c r="G68" s="215">
        <f>AT6</f>
        <v>4.5429067465025925E-9</v>
      </c>
      <c r="H68" s="216">
        <f t="shared" si="12"/>
        <v>2.9988299386342226E-6</v>
      </c>
      <c r="I68" s="220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</row>
    <row r="69" spans="1:47" ht="14.25" customHeight="1" x14ac:dyDescent="0.3">
      <c r="A69" s="109"/>
      <c r="B69" s="109"/>
      <c r="C69" s="109"/>
      <c r="D69" s="109"/>
      <c r="E69" s="109"/>
      <c r="F69" s="109"/>
      <c r="G69" s="215">
        <f>AT13</f>
        <v>1.3250394808676109E-9</v>
      </c>
      <c r="H69" s="216">
        <f t="shared" si="12"/>
        <v>8.7467524358875201E-7</v>
      </c>
      <c r="I69" s="220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</row>
    <row r="70" spans="1:47" ht="14.25" customHeight="1" x14ac:dyDescent="0.3">
      <c r="A70" s="109"/>
      <c r="B70" s="109"/>
      <c r="C70" s="109"/>
      <c r="D70" s="109"/>
      <c r="E70" s="109"/>
      <c r="F70" s="109"/>
      <c r="G70" s="215">
        <f>AT14</f>
        <v>4.8712461309020949E-10</v>
      </c>
      <c r="H70" s="216">
        <f t="shared" si="12"/>
        <v>3.2155709000743817E-7</v>
      </c>
      <c r="I70" s="220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</row>
    <row r="71" spans="1:47" ht="14.25" customHeight="1" x14ac:dyDescent="0.3">
      <c r="A71" s="109"/>
      <c r="B71" s="109"/>
      <c r="C71" s="109"/>
      <c r="D71" s="109"/>
      <c r="E71" s="109"/>
      <c r="F71" s="109"/>
      <c r="G71" s="218">
        <f>SUM(G32:G70)</f>
        <v>1.5148930881260974E-3</v>
      </c>
      <c r="H71" s="219">
        <f>SUM(H32:H70)</f>
        <v>0.99999999999999967</v>
      </c>
      <c r="I71" s="110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</row>
    <row r="72" spans="1:47" ht="14.25" customHeight="1" x14ac:dyDescent="0.3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</row>
    <row r="73" spans="1:47" ht="14.25" customHeight="1" x14ac:dyDescent="0.3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</row>
    <row r="74" spans="1:47" ht="14.25" customHeight="1" x14ac:dyDescent="0.3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</row>
    <row r="75" spans="1:47" ht="14.25" customHeight="1" x14ac:dyDescent="0.3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</row>
    <row r="76" spans="1:47" ht="14.25" customHeight="1" x14ac:dyDescent="0.3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</row>
    <row r="77" spans="1:47" ht="14.25" customHeight="1" x14ac:dyDescent="0.3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</row>
    <row r="78" spans="1:47" ht="14.25" customHeight="1" x14ac:dyDescent="0.3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</row>
    <row r="79" spans="1:47" ht="14.25" customHeight="1" x14ac:dyDescent="0.3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</row>
    <row r="80" spans="1:47" ht="14.25" customHeight="1" x14ac:dyDescent="0.3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</row>
    <row r="81" spans="1:47" ht="14.25" customHeight="1" x14ac:dyDescent="0.3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</row>
    <row r="82" spans="1:47" ht="14.25" customHeight="1" x14ac:dyDescent="0.3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</row>
    <row r="83" spans="1:47" ht="14.25" customHeight="1" x14ac:dyDescent="0.3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</row>
    <row r="84" spans="1:47" ht="14.25" customHeight="1" x14ac:dyDescent="0.3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</row>
    <row r="85" spans="1:47" ht="14.25" customHeight="1" x14ac:dyDescent="0.3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</row>
    <row r="86" spans="1:47" ht="14.25" customHeight="1" x14ac:dyDescent="0.3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</row>
    <row r="87" spans="1:47" ht="14.25" customHeight="1" x14ac:dyDescent="0.3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</row>
    <row r="88" spans="1:47" ht="14.25" customHeight="1" x14ac:dyDescent="0.3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</row>
    <row r="89" spans="1:47" ht="14.25" customHeight="1" x14ac:dyDescent="0.3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</row>
    <row r="90" spans="1:47" ht="14.25" customHeight="1" x14ac:dyDescent="0.3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</row>
    <row r="91" spans="1:47" ht="14.25" customHeight="1" x14ac:dyDescent="0.3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</row>
    <row r="92" spans="1:47" ht="14.25" customHeight="1" x14ac:dyDescent="0.3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</row>
    <row r="93" spans="1:47" ht="14.25" customHeight="1" x14ac:dyDescent="0.3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</row>
    <row r="94" spans="1:47" ht="14.25" customHeight="1" x14ac:dyDescent="0.3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</row>
    <row r="95" spans="1:47" ht="14.25" customHeight="1" x14ac:dyDescent="0.3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</row>
    <row r="96" spans="1:47" ht="14.25" customHeight="1" x14ac:dyDescent="0.3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</row>
    <row r="97" spans="1:47" ht="14.25" customHeight="1" x14ac:dyDescent="0.3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</row>
    <row r="98" spans="1:47" ht="14.25" customHeight="1" x14ac:dyDescent="0.3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</row>
    <row r="99" spans="1:47" ht="14.25" customHeight="1" x14ac:dyDescent="0.3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</row>
    <row r="100" spans="1:47" ht="14.25" customHeight="1" x14ac:dyDescent="0.3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</row>
    <row r="101" spans="1:47" ht="14.25" customHeight="1" x14ac:dyDescent="0.3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</row>
    <row r="102" spans="1:47" ht="14.25" customHeight="1" x14ac:dyDescent="0.3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</row>
    <row r="103" spans="1:47" ht="14.25" customHeight="1" x14ac:dyDescent="0.3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</row>
    <row r="104" spans="1:47" ht="14.25" customHeight="1" x14ac:dyDescent="0.3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</row>
    <row r="105" spans="1:47" ht="14.25" customHeight="1" x14ac:dyDescent="0.3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</row>
    <row r="106" spans="1:47" ht="14.25" customHeight="1" x14ac:dyDescent="0.3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</row>
    <row r="107" spans="1:47" ht="14.25" customHeight="1" x14ac:dyDescent="0.3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</row>
    <row r="108" spans="1:47" ht="14.25" customHeight="1" x14ac:dyDescent="0.3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</row>
    <row r="109" spans="1:47" ht="14.25" customHeight="1" x14ac:dyDescent="0.3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</row>
    <row r="110" spans="1:47" ht="14.25" customHeight="1" x14ac:dyDescent="0.3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</row>
    <row r="111" spans="1:47" ht="14.25" customHeight="1" x14ac:dyDescent="0.3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</row>
    <row r="112" spans="1:47" ht="14.25" customHeight="1" x14ac:dyDescent="0.3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</row>
    <row r="113" spans="1:47" ht="14.25" customHeight="1" x14ac:dyDescent="0.3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</row>
    <row r="114" spans="1:47" ht="14.25" customHeight="1" x14ac:dyDescent="0.3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</row>
    <row r="115" spans="1:47" ht="14.25" customHeight="1" x14ac:dyDescent="0.3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</row>
    <row r="116" spans="1:47" ht="14.25" customHeight="1" x14ac:dyDescent="0.3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</row>
    <row r="117" spans="1:47" ht="14.25" customHeight="1" x14ac:dyDescent="0.3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</row>
    <row r="118" spans="1:47" ht="14.25" customHeight="1" x14ac:dyDescent="0.3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</row>
    <row r="119" spans="1:47" ht="14.25" customHeight="1" x14ac:dyDescent="0.3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</row>
    <row r="120" spans="1:47" ht="14.25" customHeight="1" x14ac:dyDescent="0.3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</row>
    <row r="121" spans="1:47" ht="14.25" customHeight="1" x14ac:dyDescent="0.3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</row>
    <row r="122" spans="1:47" ht="14.25" customHeight="1" x14ac:dyDescent="0.3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</row>
    <row r="123" spans="1:47" ht="14.25" customHeight="1" x14ac:dyDescent="0.3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</row>
    <row r="124" spans="1:47" ht="14.25" customHeight="1" x14ac:dyDescent="0.3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</row>
    <row r="125" spans="1:47" ht="14.25" customHeight="1" x14ac:dyDescent="0.3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</row>
    <row r="126" spans="1:47" ht="14.25" customHeight="1" x14ac:dyDescent="0.3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</row>
    <row r="127" spans="1:47" ht="14.25" customHeight="1" x14ac:dyDescent="0.3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</row>
    <row r="128" spans="1:47" ht="14.25" customHeight="1" x14ac:dyDescent="0.3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</row>
    <row r="129" spans="1:47" ht="14.25" customHeight="1" x14ac:dyDescent="0.3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</row>
    <row r="130" spans="1:47" ht="14.25" customHeight="1" x14ac:dyDescent="0.3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</row>
    <row r="131" spans="1:47" ht="14.25" customHeight="1" x14ac:dyDescent="0.3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</row>
    <row r="132" spans="1:47" ht="14.25" customHeight="1" x14ac:dyDescent="0.3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</row>
    <row r="133" spans="1:47" ht="14.25" customHeight="1" x14ac:dyDescent="0.3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</row>
    <row r="134" spans="1:47" ht="14.25" customHeight="1" x14ac:dyDescent="0.3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</row>
    <row r="135" spans="1:47" ht="14.25" customHeight="1" x14ac:dyDescent="0.3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</row>
    <row r="136" spans="1:47" ht="14.25" customHeight="1" x14ac:dyDescent="0.3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</row>
    <row r="137" spans="1:47" ht="14.25" customHeight="1" x14ac:dyDescent="0.3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</row>
    <row r="138" spans="1:47" ht="14.25" customHeight="1" x14ac:dyDescent="0.3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</row>
    <row r="139" spans="1:47" ht="14.25" customHeight="1" x14ac:dyDescent="0.3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</row>
    <row r="140" spans="1:47" ht="14.25" customHeight="1" x14ac:dyDescent="0.3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</row>
    <row r="141" spans="1:47" ht="14.25" customHeight="1" x14ac:dyDescent="0.3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</row>
    <row r="142" spans="1:47" ht="14.25" customHeight="1" x14ac:dyDescent="0.3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</row>
    <row r="143" spans="1:47" ht="14.25" customHeight="1" x14ac:dyDescent="0.3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</row>
    <row r="144" spans="1:47" ht="14.25" customHeight="1" x14ac:dyDescent="0.3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</row>
    <row r="145" spans="1:47" ht="14.25" customHeight="1" x14ac:dyDescent="0.3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</row>
    <row r="146" spans="1:47" ht="14.25" customHeight="1" x14ac:dyDescent="0.3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</row>
    <row r="147" spans="1:47" ht="14.25" customHeight="1" x14ac:dyDescent="0.3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</row>
    <row r="148" spans="1:47" ht="14.25" customHeight="1" x14ac:dyDescent="0.3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</row>
    <row r="149" spans="1:47" ht="14.25" customHeight="1" x14ac:dyDescent="0.3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</row>
    <row r="150" spans="1:47" ht="14.25" customHeight="1" x14ac:dyDescent="0.3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</row>
    <row r="151" spans="1:47" ht="14.25" customHeight="1" x14ac:dyDescent="0.3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</row>
    <row r="152" spans="1:47" ht="14.25" customHeight="1" x14ac:dyDescent="0.3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</row>
    <row r="153" spans="1:47" ht="14.25" customHeight="1" x14ac:dyDescent="0.3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</row>
    <row r="154" spans="1:47" ht="14.25" customHeight="1" x14ac:dyDescent="0.3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</row>
    <row r="155" spans="1:47" ht="14.25" customHeight="1" x14ac:dyDescent="0.3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</row>
    <row r="156" spans="1:47" ht="14.25" customHeight="1" x14ac:dyDescent="0.3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</row>
    <row r="157" spans="1:47" ht="14.25" customHeight="1" x14ac:dyDescent="0.3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</row>
    <row r="158" spans="1:47" ht="14.25" customHeight="1" x14ac:dyDescent="0.3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</row>
    <row r="159" spans="1:47" ht="14.25" customHeight="1" x14ac:dyDescent="0.3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</row>
    <row r="160" spans="1:47" ht="14.25" customHeight="1" x14ac:dyDescent="0.3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</row>
    <row r="161" spans="1:47" ht="14.25" customHeight="1" x14ac:dyDescent="0.3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</row>
    <row r="162" spans="1:47" ht="14.25" customHeight="1" x14ac:dyDescent="0.3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</row>
    <row r="163" spans="1:47" ht="14.25" customHeight="1" x14ac:dyDescent="0.3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</row>
    <row r="164" spans="1:47" ht="14.25" customHeight="1" x14ac:dyDescent="0.3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</row>
    <row r="165" spans="1:47" ht="14.25" customHeight="1" x14ac:dyDescent="0.3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</row>
    <row r="166" spans="1:47" ht="14.25" customHeight="1" x14ac:dyDescent="0.3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</row>
    <row r="167" spans="1:47" ht="14.25" customHeight="1" x14ac:dyDescent="0.3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</row>
    <row r="168" spans="1:47" ht="14.25" customHeight="1" x14ac:dyDescent="0.3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</row>
    <row r="169" spans="1:47" ht="14.25" customHeight="1" x14ac:dyDescent="0.3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</row>
    <row r="170" spans="1:47" ht="14.25" customHeight="1" x14ac:dyDescent="0.3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</row>
    <row r="171" spans="1:47" ht="14.25" customHeight="1" x14ac:dyDescent="0.3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</row>
    <row r="172" spans="1:47" ht="14.25" customHeight="1" x14ac:dyDescent="0.3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</row>
    <row r="173" spans="1:47" ht="14.25" customHeight="1" x14ac:dyDescent="0.3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</row>
    <row r="174" spans="1:47" ht="14.25" customHeight="1" x14ac:dyDescent="0.3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</row>
    <row r="175" spans="1:47" ht="14.25" customHeight="1" x14ac:dyDescent="0.3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</row>
    <row r="176" spans="1:47" ht="14.25" customHeight="1" x14ac:dyDescent="0.3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</row>
    <row r="177" spans="1:47" ht="14.25" customHeight="1" x14ac:dyDescent="0.3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</row>
    <row r="178" spans="1:47" ht="14.25" customHeight="1" x14ac:dyDescent="0.3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</row>
    <row r="179" spans="1:47" ht="14.25" customHeight="1" x14ac:dyDescent="0.3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</row>
    <row r="180" spans="1:47" ht="14.25" customHeight="1" x14ac:dyDescent="0.3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</row>
    <row r="181" spans="1:47" ht="14.25" customHeight="1" x14ac:dyDescent="0.3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</row>
    <row r="182" spans="1:47" ht="14.25" customHeight="1" x14ac:dyDescent="0.3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</row>
    <row r="183" spans="1:47" ht="14.25" customHeight="1" x14ac:dyDescent="0.3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</row>
    <row r="184" spans="1:47" ht="14.25" customHeight="1" x14ac:dyDescent="0.3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</row>
    <row r="185" spans="1:47" ht="14.25" customHeight="1" x14ac:dyDescent="0.3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</row>
    <row r="186" spans="1:47" ht="14.25" customHeight="1" x14ac:dyDescent="0.3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</row>
    <row r="187" spans="1:47" ht="14.25" customHeight="1" x14ac:dyDescent="0.3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</row>
    <row r="188" spans="1:47" ht="14.25" customHeight="1" x14ac:dyDescent="0.3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</row>
    <row r="189" spans="1:47" ht="14.25" customHeight="1" x14ac:dyDescent="0.3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</row>
    <row r="190" spans="1:47" ht="14.25" customHeight="1" x14ac:dyDescent="0.3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</row>
    <row r="191" spans="1:47" ht="14.25" customHeight="1" x14ac:dyDescent="0.3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</row>
    <row r="192" spans="1:47" ht="14.25" customHeight="1" x14ac:dyDescent="0.3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</row>
    <row r="193" spans="1:47" ht="14.25" customHeight="1" x14ac:dyDescent="0.3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</row>
    <row r="194" spans="1:47" ht="14.25" customHeight="1" x14ac:dyDescent="0.3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</row>
    <row r="195" spans="1:47" ht="14.25" customHeight="1" x14ac:dyDescent="0.3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</row>
    <row r="196" spans="1:47" ht="14.25" customHeight="1" x14ac:dyDescent="0.3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</row>
    <row r="197" spans="1:47" ht="14.25" customHeight="1" x14ac:dyDescent="0.3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</row>
    <row r="198" spans="1:47" ht="14.25" customHeight="1" x14ac:dyDescent="0.3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</row>
    <row r="199" spans="1:47" ht="14.25" customHeight="1" x14ac:dyDescent="0.3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</row>
    <row r="200" spans="1:47" ht="14.25" customHeight="1" x14ac:dyDescent="0.3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</row>
    <row r="201" spans="1:47" ht="14.25" customHeight="1" x14ac:dyDescent="0.3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</row>
    <row r="202" spans="1:47" ht="14.25" customHeight="1" x14ac:dyDescent="0.3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</row>
    <row r="203" spans="1:47" ht="14.25" customHeight="1" x14ac:dyDescent="0.3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</row>
    <row r="204" spans="1:47" ht="14.25" customHeight="1" x14ac:dyDescent="0.3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</row>
    <row r="205" spans="1:47" ht="14.25" customHeight="1" x14ac:dyDescent="0.3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</row>
    <row r="206" spans="1:47" ht="14.25" customHeight="1" x14ac:dyDescent="0.3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</row>
    <row r="207" spans="1:47" ht="14.25" customHeight="1" x14ac:dyDescent="0.3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</row>
    <row r="208" spans="1:47" ht="14.25" customHeight="1" x14ac:dyDescent="0.3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</row>
    <row r="209" spans="1:47" ht="14.25" customHeight="1" x14ac:dyDescent="0.3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</row>
    <row r="210" spans="1:47" ht="14.25" customHeight="1" x14ac:dyDescent="0.3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</row>
    <row r="211" spans="1:47" ht="14.25" customHeight="1" x14ac:dyDescent="0.3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</row>
    <row r="212" spans="1:47" ht="14.25" customHeight="1" x14ac:dyDescent="0.3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</row>
    <row r="213" spans="1:47" ht="14.25" customHeight="1" x14ac:dyDescent="0.3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</row>
    <row r="214" spans="1:47" ht="14.25" customHeight="1" x14ac:dyDescent="0.3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</row>
    <row r="215" spans="1:47" ht="14.25" customHeight="1" x14ac:dyDescent="0.3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</row>
    <row r="216" spans="1:47" ht="14.25" customHeight="1" x14ac:dyDescent="0.3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</row>
    <row r="217" spans="1:47" ht="14.25" customHeight="1" x14ac:dyDescent="0.3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</row>
    <row r="218" spans="1:47" ht="14.25" customHeight="1" x14ac:dyDescent="0.3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</row>
    <row r="219" spans="1:47" ht="14.25" customHeight="1" x14ac:dyDescent="0.3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</row>
    <row r="220" spans="1:47" ht="14.25" customHeight="1" x14ac:dyDescent="0.3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</row>
    <row r="221" spans="1:47" ht="14.25" customHeight="1" x14ac:dyDescent="0.3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</row>
    <row r="222" spans="1:47" ht="14.25" customHeight="1" x14ac:dyDescent="0.3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</row>
    <row r="223" spans="1:47" ht="14.25" customHeight="1" x14ac:dyDescent="0.3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</row>
    <row r="224" spans="1:47" ht="14.25" customHeight="1" x14ac:dyDescent="0.3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</row>
    <row r="225" spans="1:47" ht="14.25" customHeight="1" x14ac:dyDescent="0.3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</row>
    <row r="226" spans="1:47" ht="14.25" customHeight="1" x14ac:dyDescent="0.3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</row>
    <row r="227" spans="1:47" ht="14.25" customHeight="1" x14ac:dyDescent="0.3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</row>
    <row r="228" spans="1:47" ht="14.25" customHeight="1" x14ac:dyDescent="0.3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</row>
    <row r="229" spans="1:47" ht="14.25" customHeight="1" x14ac:dyDescent="0.3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</row>
    <row r="230" spans="1:47" ht="14.25" customHeight="1" x14ac:dyDescent="0.3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</row>
    <row r="231" spans="1:47" ht="14.25" customHeight="1" x14ac:dyDescent="0.3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</row>
    <row r="232" spans="1:47" ht="14.25" customHeight="1" x14ac:dyDescent="0.3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</row>
    <row r="233" spans="1:47" ht="14.25" customHeight="1" x14ac:dyDescent="0.3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</row>
    <row r="234" spans="1:47" ht="14.25" customHeight="1" x14ac:dyDescent="0.3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</row>
    <row r="235" spans="1:47" ht="14.25" customHeight="1" x14ac:dyDescent="0.3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</row>
    <row r="236" spans="1:47" ht="14.25" customHeight="1" x14ac:dyDescent="0.3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</row>
    <row r="237" spans="1:47" ht="14.25" customHeight="1" x14ac:dyDescent="0.3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</row>
    <row r="238" spans="1:47" ht="14.25" customHeight="1" x14ac:dyDescent="0.3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</row>
    <row r="239" spans="1:47" ht="14.25" customHeight="1" x14ac:dyDescent="0.3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</row>
    <row r="240" spans="1:47" ht="14.25" customHeight="1" x14ac:dyDescent="0.3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</row>
    <row r="241" spans="1:47" ht="14.25" customHeight="1" x14ac:dyDescent="0.3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</row>
    <row r="242" spans="1:47" ht="14.25" customHeight="1" x14ac:dyDescent="0.3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</row>
    <row r="243" spans="1:47" ht="14.25" customHeight="1" x14ac:dyDescent="0.3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</row>
    <row r="244" spans="1:47" ht="14.25" customHeight="1" x14ac:dyDescent="0.3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</row>
    <row r="245" spans="1:47" ht="14.25" customHeight="1" x14ac:dyDescent="0.3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</row>
    <row r="246" spans="1:47" ht="14.25" customHeight="1" x14ac:dyDescent="0.3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</row>
    <row r="247" spans="1:47" ht="14.25" customHeight="1" x14ac:dyDescent="0.3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</row>
    <row r="248" spans="1:47" ht="14.25" customHeight="1" x14ac:dyDescent="0.3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</row>
    <row r="249" spans="1:47" ht="14.25" customHeight="1" x14ac:dyDescent="0.3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</row>
    <row r="250" spans="1:47" ht="14.25" customHeight="1" x14ac:dyDescent="0.3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</row>
    <row r="251" spans="1:47" ht="14.25" customHeight="1" x14ac:dyDescent="0.3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</row>
    <row r="252" spans="1:47" ht="14.25" customHeight="1" x14ac:dyDescent="0.3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</row>
    <row r="253" spans="1:47" ht="14.25" customHeight="1" x14ac:dyDescent="0.3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</row>
    <row r="254" spans="1:47" ht="14.25" customHeight="1" x14ac:dyDescent="0.3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</row>
    <row r="255" spans="1:47" ht="14.25" customHeight="1" x14ac:dyDescent="0.3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</row>
    <row r="256" spans="1:47" ht="14.25" customHeight="1" x14ac:dyDescent="0.3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</row>
    <row r="257" spans="1:47" ht="14.25" customHeight="1" x14ac:dyDescent="0.3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</row>
    <row r="258" spans="1:47" ht="14.25" customHeight="1" x14ac:dyDescent="0.3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</row>
    <row r="259" spans="1:47" ht="14.25" customHeight="1" x14ac:dyDescent="0.3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</row>
    <row r="260" spans="1:47" ht="14.25" customHeight="1" x14ac:dyDescent="0.3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</row>
    <row r="261" spans="1:47" ht="14.25" customHeight="1" x14ac:dyDescent="0.3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</row>
    <row r="262" spans="1:47" ht="14.25" customHeight="1" x14ac:dyDescent="0.3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</row>
    <row r="263" spans="1:47" ht="14.25" customHeight="1" x14ac:dyDescent="0.3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</row>
    <row r="264" spans="1:47" ht="14.25" customHeight="1" x14ac:dyDescent="0.3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</row>
    <row r="265" spans="1:47" ht="14.25" customHeight="1" x14ac:dyDescent="0.3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</row>
    <row r="266" spans="1:47" ht="14.25" customHeight="1" x14ac:dyDescent="0.3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</row>
    <row r="267" spans="1:47" ht="14.25" customHeight="1" x14ac:dyDescent="0.3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</row>
    <row r="268" spans="1:47" ht="14.25" customHeight="1" x14ac:dyDescent="0.3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</row>
    <row r="269" spans="1:47" ht="14.25" customHeight="1" x14ac:dyDescent="0.3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</row>
    <row r="270" spans="1:47" ht="14.25" customHeight="1" x14ac:dyDescent="0.3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</row>
    <row r="271" spans="1:47" ht="14.25" customHeight="1" x14ac:dyDescent="0.3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</row>
    <row r="272" spans="1:47" ht="14.25" customHeight="1" x14ac:dyDescent="0.3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</row>
    <row r="273" spans="1:47" ht="14.25" customHeight="1" x14ac:dyDescent="0.3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</row>
    <row r="274" spans="1:47" ht="14.25" customHeight="1" x14ac:dyDescent="0.3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</row>
    <row r="275" spans="1:47" ht="14.25" customHeight="1" x14ac:dyDescent="0.3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</row>
    <row r="276" spans="1:47" ht="14.25" customHeight="1" x14ac:dyDescent="0.3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</row>
    <row r="277" spans="1:47" ht="14.25" customHeight="1" x14ac:dyDescent="0.3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</row>
    <row r="278" spans="1:47" ht="14.25" customHeight="1" x14ac:dyDescent="0.3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</row>
    <row r="279" spans="1:47" ht="14.25" customHeight="1" x14ac:dyDescent="0.3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</row>
    <row r="280" spans="1:47" ht="14.25" customHeight="1" x14ac:dyDescent="0.3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</row>
    <row r="281" spans="1:47" ht="14.25" customHeight="1" x14ac:dyDescent="0.3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</row>
    <row r="282" spans="1:47" ht="14.25" customHeight="1" x14ac:dyDescent="0.3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</row>
    <row r="283" spans="1:47" ht="14.25" customHeight="1" x14ac:dyDescent="0.3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</row>
    <row r="284" spans="1:47" ht="14.25" customHeight="1" x14ac:dyDescent="0.3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</row>
    <row r="285" spans="1:47" ht="14.25" customHeight="1" x14ac:dyDescent="0.3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</row>
    <row r="286" spans="1:47" ht="14.25" customHeight="1" x14ac:dyDescent="0.3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</row>
    <row r="287" spans="1:47" ht="14.25" customHeight="1" x14ac:dyDescent="0.3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</row>
    <row r="288" spans="1:47" ht="14.25" customHeight="1" x14ac:dyDescent="0.3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</row>
    <row r="289" spans="1:47" ht="14.25" customHeight="1" x14ac:dyDescent="0.3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</row>
    <row r="290" spans="1:47" ht="14.25" customHeight="1" x14ac:dyDescent="0.3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</row>
    <row r="291" spans="1:47" ht="14.25" customHeight="1" x14ac:dyDescent="0.3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</row>
    <row r="292" spans="1:47" ht="14.25" customHeight="1" x14ac:dyDescent="0.3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</row>
    <row r="293" spans="1:47" ht="14.25" customHeight="1" x14ac:dyDescent="0.3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</row>
    <row r="294" spans="1:47" ht="14.25" customHeight="1" x14ac:dyDescent="0.3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</row>
    <row r="295" spans="1:47" ht="14.25" customHeight="1" x14ac:dyDescent="0.3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</row>
    <row r="296" spans="1:47" ht="14.25" customHeight="1" x14ac:dyDescent="0.3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</row>
    <row r="297" spans="1:47" ht="14.25" customHeight="1" x14ac:dyDescent="0.3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</row>
    <row r="298" spans="1:47" ht="14.25" customHeight="1" x14ac:dyDescent="0.3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</row>
    <row r="299" spans="1:47" ht="14.25" customHeight="1" x14ac:dyDescent="0.3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</row>
    <row r="300" spans="1:47" ht="14.25" customHeight="1" x14ac:dyDescent="0.3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</row>
    <row r="301" spans="1:47" ht="14.25" customHeight="1" x14ac:dyDescent="0.3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</row>
    <row r="302" spans="1:47" ht="14.25" customHeight="1" x14ac:dyDescent="0.3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</row>
    <row r="303" spans="1:47" ht="14.25" customHeight="1" x14ac:dyDescent="0.3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</row>
    <row r="304" spans="1:47" ht="14.25" customHeight="1" x14ac:dyDescent="0.3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</row>
    <row r="305" spans="1:47" ht="14.25" customHeight="1" x14ac:dyDescent="0.3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</row>
    <row r="306" spans="1:47" ht="14.25" customHeight="1" x14ac:dyDescent="0.3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</row>
    <row r="307" spans="1:47" ht="14.25" customHeight="1" x14ac:dyDescent="0.3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</row>
    <row r="308" spans="1:47" ht="14.25" customHeight="1" x14ac:dyDescent="0.3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</row>
    <row r="309" spans="1:47" ht="14.25" customHeight="1" x14ac:dyDescent="0.3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</row>
    <row r="310" spans="1:47" ht="14.25" customHeight="1" x14ac:dyDescent="0.3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</row>
    <row r="311" spans="1:47" ht="14.25" customHeight="1" x14ac:dyDescent="0.3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</row>
    <row r="312" spans="1:47" ht="14.25" customHeight="1" x14ac:dyDescent="0.3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</row>
    <row r="313" spans="1:47" ht="14.25" customHeight="1" x14ac:dyDescent="0.3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</row>
    <row r="314" spans="1:47" ht="14.25" customHeight="1" x14ac:dyDescent="0.3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</row>
    <row r="315" spans="1:47" ht="14.25" customHeight="1" x14ac:dyDescent="0.3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</row>
    <row r="316" spans="1:47" ht="14.25" customHeight="1" x14ac:dyDescent="0.3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</row>
    <row r="317" spans="1:47" ht="14.25" customHeight="1" x14ac:dyDescent="0.3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</row>
    <row r="318" spans="1:47" ht="14.25" customHeight="1" x14ac:dyDescent="0.3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</row>
    <row r="319" spans="1:47" ht="14.25" customHeight="1" x14ac:dyDescent="0.3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</row>
    <row r="320" spans="1:47" ht="14.25" customHeight="1" x14ac:dyDescent="0.3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</row>
    <row r="321" spans="1:47" ht="14.25" customHeight="1" x14ac:dyDescent="0.3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</row>
    <row r="322" spans="1:47" ht="14.25" customHeight="1" x14ac:dyDescent="0.3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</row>
    <row r="323" spans="1:47" ht="14.25" customHeight="1" x14ac:dyDescent="0.3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</row>
    <row r="324" spans="1:47" ht="14.25" customHeight="1" x14ac:dyDescent="0.3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</row>
    <row r="325" spans="1:47" ht="14.25" customHeight="1" x14ac:dyDescent="0.3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</row>
    <row r="326" spans="1:47" ht="14.25" customHeight="1" x14ac:dyDescent="0.3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</row>
    <row r="327" spans="1:47" ht="14.25" customHeight="1" x14ac:dyDescent="0.3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</row>
    <row r="328" spans="1:47" ht="14.25" customHeight="1" x14ac:dyDescent="0.3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</row>
    <row r="329" spans="1:47" ht="14.25" customHeight="1" x14ac:dyDescent="0.3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</row>
    <row r="330" spans="1:47" ht="14.25" customHeight="1" x14ac:dyDescent="0.3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</row>
    <row r="331" spans="1:47" ht="14.25" customHeight="1" x14ac:dyDescent="0.3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</row>
    <row r="332" spans="1:47" ht="14.25" customHeight="1" x14ac:dyDescent="0.3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</row>
    <row r="333" spans="1:47" ht="14.25" customHeight="1" x14ac:dyDescent="0.3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</row>
    <row r="334" spans="1:47" ht="14.25" customHeight="1" x14ac:dyDescent="0.3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</row>
    <row r="335" spans="1:47" ht="14.25" customHeight="1" x14ac:dyDescent="0.3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</row>
    <row r="336" spans="1:47" ht="14.25" customHeight="1" x14ac:dyDescent="0.3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</row>
    <row r="337" spans="1:47" ht="14.25" customHeight="1" x14ac:dyDescent="0.3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</row>
    <row r="338" spans="1:47" ht="14.25" customHeight="1" x14ac:dyDescent="0.3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</row>
    <row r="339" spans="1:47" ht="14.25" customHeight="1" x14ac:dyDescent="0.3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</row>
    <row r="340" spans="1:47" ht="14.25" customHeight="1" x14ac:dyDescent="0.3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</row>
    <row r="341" spans="1:47" ht="14.25" customHeight="1" x14ac:dyDescent="0.3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</row>
    <row r="342" spans="1:47" ht="14.25" customHeight="1" x14ac:dyDescent="0.3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</row>
    <row r="343" spans="1:47" ht="14.25" customHeight="1" x14ac:dyDescent="0.3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</row>
    <row r="344" spans="1:47" ht="14.25" customHeight="1" x14ac:dyDescent="0.3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</row>
    <row r="345" spans="1:47" ht="14.25" customHeight="1" x14ac:dyDescent="0.3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</row>
    <row r="346" spans="1:47" ht="14.25" customHeight="1" x14ac:dyDescent="0.3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</row>
    <row r="347" spans="1:47" ht="14.25" customHeight="1" x14ac:dyDescent="0.3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</row>
    <row r="348" spans="1:47" ht="14.25" customHeight="1" x14ac:dyDescent="0.3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</row>
    <row r="349" spans="1:47" ht="14.25" customHeight="1" x14ac:dyDescent="0.3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</row>
    <row r="350" spans="1:47" ht="14.25" customHeight="1" x14ac:dyDescent="0.3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</row>
    <row r="351" spans="1:47" ht="14.25" customHeight="1" x14ac:dyDescent="0.3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</row>
    <row r="352" spans="1:47" ht="14.25" customHeight="1" x14ac:dyDescent="0.3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</row>
    <row r="353" spans="1:47" ht="14.25" customHeight="1" x14ac:dyDescent="0.3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</row>
    <row r="354" spans="1:47" ht="14.25" customHeight="1" x14ac:dyDescent="0.3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</row>
    <row r="355" spans="1:47" ht="14.25" customHeight="1" x14ac:dyDescent="0.3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</row>
    <row r="356" spans="1:47" ht="14.25" customHeight="1" x14ac:dyDescent="0.3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</row>
    <row r="357" spans="1:47" ht="14.25" customHeight="1" x14ac:dyDescent="0.3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</row>
    <row r="358" spans="1:47" ht="14.25" customHeight="1" x14ac:dyDescent="0.3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</row>
    <row r="359" spans="1:47" ht="14.25" customHeight="1" x14ac:dyDescent="0.3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</row>
    <row r="360" spans="1:47" ht="14.25" customHeight="1" x14ac:dyDescent="0.3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</row>
    <row r="361" spans="1:47" ht="14.25" customHeight="1" x14ac:dyDescent="0.3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</row>
    <row r="362" spans="1:47" ht="14.25" customHeight="1" x14ac:dyDescent="0.3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</row>
    <row r="363" spans="1:47" ht="14.25" customHeight="1" x14ac:dyDescent="0.3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</row>
    <row r="364" spans="1:47" ht="14.25" customHeight="1" x14ac:dyDescent="0.3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</row>
    <row r="365" spans="1:47" ht="14.25" customHeight="1" x14ac:dyDescent="0.3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</row>
    <row r="366" spans="1:47" ht="14.25" customHeight="1" x14ac:dyDescent="0.3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</row>
    <row r="367" spans="1:47" ht="14.25" customHeight="1" x14ac:dyDescent="0.3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</row>
    <row r="368" spans="1:47" ht="14.25" customHeight="1" x14ac:dyDescent="0.3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</row>
    <row r="369" spans="1:47" ht="14.25" customHeight="1" x14ac:dyDescent="0.3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</row>
    <row r="370" spans="1:47" ht="14.25" customHeight="1" x14ac:dyDescent="0.3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</row>
    <row r="371" spans="1:47" ht="14.25" customHeight="1" x14ac:dyDescent="0.3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</row>
    <row r="372" spans="1:47" ht="14.25" customHeight="1" x14ac:dyDescent="0.3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</row>
    <row r="373" spans="1:47" ht="14.25" customHeight="1" x14ac:dyDescent="0.3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</row>
    <row r="374" spans="1:47" ht="14.25" customHeight="1" x14ac:dyDescent="0.3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</row>
    <row r="375" spans="1:47" ht="14.25" customHeight="1" x14ac:dyDescent="0.3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</row>
    <row r="376" spans="1:47" ht="14.25" customHeight="1" x14ac:dyDescent="0.3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</row>
    <row r="377" spans="1:47" ht="14.25" customHeight="1" x14ac:dyDescent="0.3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</row>
    <row r="378" spans="1:47" ht="14.25" customHeight="1" x14ac:dyDescent="0.3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</row>
    <row r="379" spans="1:47" ht="14.25" customHeight="1" x14ac:dyDescent="0.3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</row>
    <row r="380" spans="1:47" ht="14.25" customHeight="1" x14ac:dyDescent="0.3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</row>
    <row r="381" spans="1:47" ht="14.25" customHeight="1" x14ac:dyDescent="0.3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</row>
    <row r="382" spans="1:47" ht="14.25" customHeight="1" x14ac:dyDescent="0.3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</row>
    <row r="383" spans="1:47" ht="14.25" customHeight="1" x14ac:dyDescent="0.3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</row>
    <row r="384" spans="1:47" ht="14.25" customHeight="1" x14ac:dyDescent="0.3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</row>
    <row r="385" spans="1:47" ht="14.25" customHeight="1" x14ac:dyDescent="0.3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</row>
    <row r="386" spans="1:47" ht="14.25" customHeight="1" x14ac:dyDescent="0.3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</row>
    <row r="387" spans="1:47" ht="14.25" customHeight="1" x14ac:dyDescent="0.3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</row>
    <row r="388" spans="1:47" ht="14.25" customHeight="1" x14ac:dyDescent="0.3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</row>
    <row r="389" spans="1:47" ht="14.25" customHeight="1" x14ac:dyDescent="0.3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</row>
    <row r="390" spans="1:47" ht="14.25" customHeight="1" x14ac:dyDescent="0.3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</row>
    <row r="391" spans="1:47" ht="14.25" customHeight="1" x14ac:dyDescent="0.3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</row>
    <row r="392" spans="1:47" ht="14.25" customHeight="1" x14ac:dyDescent="0.3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</row>
    <row r="393" spans="1:47" ht="14.25" customHeight="1" x14ac:dyDescent="0.3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</row>
    <row r="394" spans="1:47" ht="14.25" customHeight="1" x14ac:dyDescent="0.3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</row>
    <row r="395" spans="1:47" ht="14.25" customHeight="1" x14ac:dyDescent="0.3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</row>
    <row r="396" spans="1:47" ht="14.25" customHeight="1" x14ac:dyDescent="0.3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</row>
    <row r="397" spans="1:47" ht="14.25" customHeight="1" x14ac:dyDescent="0.3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</row>
    <row r="398" spans="1:47" ht="14.25" customHeight="1" x14ac:dyDescent="0.3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</row>
    <row r="399" spans="1:47" ht="14.25" customHeight="1" x14ac:dyDescent="0.3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</row>
    <row r="400" spans="1:47" ht="14.25" customHeight="1" x14ac:dyDescent="0.3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</row>
    <row r="401" spans="1:47" ht="14.25" customHeight="1" x14ac:dyDescent="0.3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</row>
    <row r="402" spans="1:47" ht="14.25" customHeight="1" x14ac:dyDescent="0.3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</row>
    <row r="403" spans="1:47" ht="14.25" customHeight="1" x14ac:dyDescent="0.3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</row>
    <row r="404" spans="1:47" ht="14.25" customHeight="1" x14ac:dyDescent="0.3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</row>
    <row r="405" spans="1:47" ht="14.25" customHeight="1" x14ac:dyDescent="0.3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</row>
    <row r="406" spans="1:47" ht="14.25" customHeight="1" x14ac:dyDescent="0.3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</row>
    <row r="407" spans="1:47" ht="14.25" customHeight="1" x14ac:dyDescent="0.3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</row>
    <row r="408" spans="1:47" ht="14.25" customHeight="1" x14ac:dyDescent="0.3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</row>
    <row r="409" spans="1:47" ht="14.25" customHeight="1" x14ac:dyDescent="0.3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</row>
    <row r="410" spans="1:47" ht="14.25" customHeight="1" x14ac:dyDescent="0.3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</row>
    <row r="411" spans="1:47" ht="14.25" customHeight="1" x14ac:dyDescent="0.3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</row>
    <row r="412" spans="1:47" ht="14.25" customHeight="1" x14ac:dyDescent="0.3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</row>
    <row r="413" spans="1:47" ht="14.25" customHeight="1" x14ac:dyDescent="0.3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</row>
    <row r="414" spans="1:47" ht="14.25" customHeight="1" x14ac:dyDescent="0.3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</row>
    <row r="415" spans="1:47" ht="14.25" customHeight="1" x14ac:dyDescent="0.3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</row>
    <row r="416" spans="1:47" ht="14.25" customHeight="1" x14ac:dyDescent="0.3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</row>
    <row r="417" spans="1:47" ht="14.25" customHeight="1" x14ac:dyDescent="0.3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</row>
    <row r="418" spans="1:47" ht="14.25" customHeight="1" x14ac:dyDescent="0.3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</row>
    <row r="419" spans="1:47" ht="14.25" customHeight="1" x14ac:dyDescent="0.3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</row>
    <row r="420" spans="1:47" ht="14.25" customHeight="1" x14ac:dyDescent="0.3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</row>
    <row r="421" spans="1:47" ht="14.25" customHeight="1" x14ac:dyDescent="0.3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</row>
    <row r="422" spans="1:47" ht="14.25" customHeight="1" x14ac:dyDescent="0.3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</row>
    <row r="423" spans="1:47" ht="14.25" customHeight="1" x14ac:dyDescent="0.3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</row>
    <row r="424" spans="1:47" ht="14.25" customHeight="1" x14ac:dyDescent="0.3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</row>
    <row r="425" spans="1:47" ht="14.25" customHeight="1" x14ac:dyDescent="0.3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</row>
    <row r="426" spans="1:47" ht="14.25" customHeight="1" x14ac:dyDescent="0.3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</row>
    <row r="427" spans="1:47" ht="14.25" customHeight="1" x14ac:dyDescent="0.3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</row>
    <row r="428" spans="1:47" ht="14.25" customHeight="1" x14ac:dyDescent="0.3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</row>
    <row r="429" spans="1:47" ht="14.25" customHeight="1" x14ac:dyDescent="0.3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</row>
    <row r="430" spans="1:47" ht="14.25" customHeight="1" x14ac:dyDescent="0.3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</row>
    <row r="431" spans="1:47" ht="14.25" customHeight="1" x14ac:dyDescent="0.3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</row>
    <row r="432" spans="1:47" ht="14.25" customHeight="1" x14ac:dyDescent="0.3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</row>
    <row r="433" spans="1:47" ht="14.25" customHeight="1" x14ac:dyDescent="0.3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</row>
    <row r="434" spans="1:47" ht="14.25" customHeight="1" x14ac:dyDescent="0.3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</row>
    <row r="435" spans="1:47" ht="14.25" customHeight="1" x14ac:dyDescent="0.3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</row>
    <row r="436" spans="1:47" ht="14.25" customHeight="1" x14ac:dyDescent="0.3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</row>
    <row r="437" spans="1:47" ht="14.25" customHeight="1" x14ac:dyDescent="0.3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</row>
    <row r="438" spans="1:47" ht="14.25" customHeight="1" x14ac:dyDescent="0.3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</row>
    <row r="439" spans="1:47" ht="14.25" customHeight="1" x14ac:dyDescent="0.3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</row>
    <row r="440" spans="1:47" ht="14.25" customHeight="1" x14ac:dyDescent="0.3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</row>
    <row r="441" spans="1:47" ht="14.25" customHeight="1" x14ac:dyDescent="0.3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</row>
    <row r="442" spans="1:47" ht="14.25" customHeight="1" x14ac:dyDescent="0.3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</row>
    <row r="443" spans="1:47" ht="14.25" customHeight="1" x14ac:dyDescent="0.3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</row>
    <row r="444" spans="1:47" ht="14.25" customHeight="1" x14ac:dyDescent="0.3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</row>
    <row r="445" spans="1:47" ht="14.25" customHeight="1" x14ac:dyDescent="0.3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</row>
    <row r="446" spans="1:47" ht="14.25" customHeight="1" x14ac:dyDescent="0.3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</row>
    <row r="447" spans="1:47" ht="14.25" customHeight="1" x14ac:dyDescent="0.3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</row>
    <row r="448" spans="1:47" ht="14.25" customHeight="1" x14ac:dyDescent="0.3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</row>
    <row r="449" spans="1:47" ht="14.25" customHeight="1" x14ac:dyDescent="0.3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</row>
    <row r="450" spans="1:47" ht="14.25" customHeight="1" x14ac:dyDescent="0.3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</row>
    <row r="451" spans="1:47" ht="14.25" customHeight="1" x14ac:dyDescent="0.3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</row>
    <row r="452" spans="1:47" ht="14.25" customHeight="1" x14ac:dyDescent="0.3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</row>
    <row r="453" spans="1:47" ht="14.25" customHeight="1" x14ac:dyDescent="0.3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</row>
    <row r="454" spans="1:47" ht="14.25" customHeight="1" x14ac:dyDescent="0.3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</row>
    <row r="455" spans="1:47" ht="14.25" customHeight="1" x14ac:dyDescent="0.3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</row>
    <row r="456" spans="1:47" ht="14.25" customHeight="1" x14ac:dyDescent="0.3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</row>
    <row r="457" spans="1:47" ht="14.25" customHeight="1" x14ac:dyDescent="0.3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</row>
    <row r="458" spans="1:47" ht="14.25" customHeight="1" x14ac:dyDescent="0.3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</row>
    <row r="459" spans="1:47" ht="14.25" customHeight="1" x14ac:dyDescent="0.3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</row>
    <row r="460" spans="1:47" ht="14.25" customHeight="1" x14ac:dyDescent="0.3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</row>
    <row r="461" spans="1:47" ht="14.25" customHeight="1" x14ac:dyDescent="0.3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</row>
    <row r="462" spans="1:47" ht="14.25" customHeight="1" x14ac:dyDescent="0.3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</row>
    <row r="463" spans="1:47" ht="14.25" customHeight="1" x14ac:dyDescent="0.3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</row>
    <row r="464" spans="1:47" ht="14.25" customHeight="1" x14ac:dyDescent="0.3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</row>
    <row r="465" spans="1:47" ht="14.25" customHeight="1" x14ac:dyDescent="0.3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</row>
    <row r="466" spans="1:47" ht="14.25" customHeight="1" x14ac:dyDescent="0.3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</row>
    <row r="467" spans="1:47" ht="14.25" customHeight="1" x14ac:dyDescent="0.3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</row>
    <row r="468" spans="1:47" ht="14.25" customHeight="1" x14ac:dyDescent="0.3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</row>
    <row r="469" spans="1:47" ht="14.25" customHeight="1" x14ac:dyDescent="0.3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</row>
    <row r="470" spans="1:47" ht="14.25" customHeight="1" x14ac:dyDescent="0.3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</row>
    <row r="471" spans="1:47" ht="14.25" customHeight="1" x14ac:dyDescent="0.3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</row>
    <row r="472" spans="1:47" ht="14.25" customHeight="1" x14ac:dyDescent="0.3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</row>
    <row r="473" spans="1:47" ht="14.25" customHeight="1" x14ac:dyDescent="0.3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</row>
    <row r="474" spans="1:47" ht="14.25" customHeight="1" x14ac:dyDescent="0.3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</row>
    <row r="475" spans="1:47" ht="14.25" customHeight="1" x14ac:dyDescent="0.3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</row>
    <row r="476" spans="1:47" ht="14.25" customHeight="1" x14ac:dyDescent="0.3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</row>
    <row r="477" spans="1:47" ht="14.25" customHeight="1" x14ac:dyDescent="0.3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</row>
    <row r="478" spans="1:47" ht="14.25" customHeight="1" x14ac:dyDescent="0.3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</row>
    <row r="479" spans="1:47" ht="14.25" customHeight="1" x14ac:dyDescent="0.3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</row>
    <row r="480" spans="1:47" ht="14.25" customHeight="1" x14ac:dyDescent="0.3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</row>
    <row r="481" spans="1:47" ht="14.25" customHeight="1" x14ac:dyDescent="0.3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</row>
    <row r="482" spans="1:47" ht="14.25" customHeight="1" x14ac:dyDescent="0.3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</row>
    <row r="483" spans="1:47" ht="14.25" customHeight="1" x14ac:dyDescent="0.3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</row>
    <row r="484" spans="1:47" ht="14.25" customHeight="1" x14ac:dyDescent="0.3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</row>
    <row r="485" spans="1:47" ht="14.25" customHeight="1" x14ac:dyDescent="0.3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</row>
    <row r="486" spans="1:47" ht="14.25" customHeight="1" x14ac:dyDescent="0.3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</row>
    <row r="487" spans="1:47" ht="14.25" customHeight="1" x14ac:dyDescent="0.3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</row>
    <row r="488" spans="1:47" ht="14.25" customHeight="1" x14ac:dyDescent="0.3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</row>
    <row r="489" spans="1:47" ht="14.25" customHeight="1" x14ac:dyDescent="0.3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</row>
    <row r="490" spans="1:47" ht="14.25" customHeight="1" x14ac:dyDescent="0.3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</row>
    <row r="491" spans="1:47" ht="14.25" customHeight="1" x14ac:dyDescent="0.3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</row>
    <row r="492" spans="1:47" ht="14.25" customHeight="1" x14ac:dyDescent="0.3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</row>
    <row r="493" spans="1:47" ht="14.25" customHeight="1" x14ac:dyDescent="0.3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</row>
    <row r="494" spans="1:47" ht="14.25" customHeight="1" x14ac:dyDescent="0.3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</row>
    <row r="495" spans="1:47" ht="14.25" customHeight="1" x14ac:dyDescent="0.3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</row>
    <row r="496" spans="1:47" ht="14.25" customHeight="1" x14ac:dyDescent="0.3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</row>
    <row r="497" spans="1:47" ht="14.25" customHeight="1" x14ac:dyDescent="0.3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</row>
    <row r="498" spans="1:47" ht="14.25" customHeight="1" x14ac:dyDescent="0.3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</row>
    <row r="499" spans="1:47" ht="14.25" customHeight="1" x14ac:dyDescent="0.3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</row>
    <row r="500" spans="1:47" ht="14.25" customHeight="1" x14ac:dyDescent="0.3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</row>
    <row r="501" spans="1:47" ht="14.25" customHeight="1" x14ac:dyDescent="0.3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</row>
    <row r="502" spans="1:47" ht="14.25" customHeight="1" x14ac:dyDescent="0.3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</row>
    <row r="503" spans="1:47" ht="14.25" customHeight="1" x14ac:dyDescent="0.3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</row>
    <row r="504" spans="1:47" ht="14.25" customHeight="1" x14ac:dyDescent="0.3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</row>
    <row r="505" spans="1:47" ht="14.25" customHeight="1" x14ac:dyDescent="0.3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</row>
    <row r="506" spans="1:47" ht="14.25" customHeight="1" x14ac:dyDescent="0.3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</row>
    <row r="507" spans="1:47" ht="14.25" customHeight="1" x14ac:dyDescent="0.3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</row>
    <row r="508" spans="1:47" ht="14.25" customHeight="1" x14ac:dyDescent="0.3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</row>
    <row r="509" spans="1:47" ht="14.25" customHeight="1" x14ac:dyDescent="0.3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</row>
    <row r="510" spans="1:47" ht="14.25" customHeight="1" x14ac:dyDescent="0.3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</row>
    <row r="511" spans="1:47" ht="14.25" customHeight="1" x14ac:dyDescent="0.3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</row>
    <row r="512" spans="1:47" ht="14.25" customHeight="1" x14ac:dyDescent="0.3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</row>
    <row r="513" spans="1:47" ht="14.25" customHeight="1" x14ac:dyDescent="0.3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</row>
    <row r="514" spans="1:47" ht="14.25" customHeight="1" x14ac:dyDescent="0.3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</row>
    <row r="515" spans="1:47" ht="14.25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</row>
    <row r="516" spans="1:47" ht="14.25" customHeight="1" x14ac:dyDescent="0.3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</row>
    <row r="517" spans="1:47" ht="14.25" customHeight="1" x14ac:dyDescent="0.3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</row>
    <row r="518" spans="1:47" ht="14.25" customHeight="1" x14ac:dyDescent="0.3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</row>
    <row r="519" spans="1:47" ht="14.25" customHeight="1" x14ac:dyDescent="0.3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</row>
    <row r="520" spans="1:47" ht="14.25" customHeight="1" x14ac:dyDescent="0.3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</row>
    <row r="521" spans="1:47" ht="14.25" customHeight="1" x14ac:dyDescent="0.3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</row>
    <row r="522" spans="1:47" ht="14.25" customHeight="1" x14ac:dyDescent="0.3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</row>
    <row r="523" spans="1:47" ht="14.25" customHeight="1" x14ac:dyDescent="0.3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</row>
    <row r="524" spans="1:47" ht="14.25" customHeight="1" x14ac:dyDescent="0.3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</row>
    <row r="525" spans="1:47" ht="14.25" customHeight="1" x14ac:dyDescent="0.3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</row>
    <row r="526" spans="1:47" ht="14.25" customHeight="1" x14ac:dyDescent="0.3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</row>
    <row r="527" spans="1:47" ht="14.25" customHeight="1" x14ac:dyDescent="0.3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</row>
    <row r="528" spans="1:47" ht="14.25" customHeight="1" x14ac:dyDescent="0.3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</row>
    <row r="529" spans="1:47" ht="14.25" customHeight="1" x14ac:dyDescent="0.3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</row>
    <row r="530" spans="1:47" ht="14.25" customHeight="1" x14ac:dyDescent="0.3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</row>
    <row r="531" spans="1:47" ht="14.25" customHeight="1" x14ac:dyDescent="0.3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</row>
    <row r="532" spans="1:47" ht="14.25" customHeight="1" x14ac:dyDescent="0.3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</row>
    <row r="533" spans="1:47" ht="14.25" customHeight="1" x14ac:dyDescent="0.3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</row>
    <row r="534" spans="1:47" ht="14.25" customHeight="1" x14ac:dyDescent="0.3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</row>
    <row r="535" spans="1:47" ht="14.25" customHeight="1" x14ac:dyDescent="0.3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</row>
    <row r="536" spans="1:47" ht="14.25" customHeight="1" x14ac:dyDescent="0.3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</row>
    <row r="537" spans="1:47" ht="14.25" customHeight="1" x14ac:dyDescent="0.3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</row>
    <row r="538" spans="1:47" ht="14.25" customHeight="1" x14ac:dyDescent="0.3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</row>
    <row r="539" spans="1:47" ht="14.25" customHeight="1" x14ac:dyDescent="0.3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</row>
    <row r="540" spans="1:47" ht="14.25" customHeight="1" x14ac:dyDescent="0.3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</row>
    <row r="541" spans="1:47" ht="14.25" customHeight="1" x14ac:dyDescent="0.3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</row>
    <row r="542" spans="1:47" ht="14.25" customHeight="1" x14ac:dyDescent="0.3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</row>
    <row r="543" spans="1:47" ht="14.25" customHeight="1" x14ac:dyDescent="0.3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</row>
    <row r="544" spans="1:47" ht="14.25" customHeight="1" x14ac:dyDescent="0.3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</row>
    <row r="545" spans="1:47" ht="14.25" customHeight="1" x14ac:dyDescent="0.3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</row>
    <row r="546" spans="1:47" ht="14.25" customHeight="1" x14ac:dyDescent="0.3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</row>
    <row r="547" spans="1:47" ht="14.25" customHeight="1" x14ac:dyDescent="0.3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</row>
    <row r="548" spans="1:47" ht="14.25" customHeight="1" x14ac:dyDescent="0.3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</row>
    <row r="549" spans="1:47" ht="14.25" customHeight="1" x14ac:dyDescent="0.3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</row>
    <row r="550" spans="1:47" ht="14.25" customHeight="1" x14ac:dyDescent="0.3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</row>
    <row r="551" spans="1:47" ht="14.25" customHeight="1" x14ac:dyDescent="0.3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</row>
    <row r="552" spans="1:47" ht="14.25" customHeight="1" x14ac:dyDescent="0.3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</row>
    <row r="553" spans="1:47" ht="14.25" customHeight="1" x14ac:dyDescent="0.3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</row>
    <row r="554" spans="1:47" ht="14.25" customHeight="1" x14ac:dyDescent="0.3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</row>
    <row r="555" spans="1:47" ht="14.25" customHeight="1" x14ac:dyDescent="0.3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</row>
    <row r="556" spans="1:47" ht="14.25" customHeight="1" x14ac:dyDescent="0.3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</row>
    <row r="557" spans="1:47" ht="14.25" customHeight="1" x14ac:dyDescent="0.3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</row>
    <row r="558" spans="1:47" ht="14.25" customHeight="1" x14ac:dyDescent="0.3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</row>
    <row r="559" spans="1:47" ht="14.25" customHeight="1" x14ac:dyDescent="0.3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</row>
    <row r="560" spans="1:47" ht="14.25" customHeight="1" x14ac:dyDescent="0.3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</row>
    <row r="561" spans="1:47" ht="14.25" customHeight="1" x14ac:dyDescent="0.3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</row>
    <row r="562" spans="1:47" ht="14.25" customHeight="1" x14ac:dyDescent="0.3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</row>
    <row r="563" spans="1:47" ht="14.25" customHeight="1" x14ac:dyDescent="0.3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</row>
    <row r="564" spans="1:47" ht="14.25" customHeight="1" x14ac:dyDescent="0.3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</row>
    <row r="565" spans="1:47" ht="14.25" customHeight="1" x14ac:dyDescent="0.3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</row>
    <row r="566" spans="1:47" ht="14.25" customHeight="1" x14ac:dyDescent="0.3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</row>
    <row r="567" spans="1:47" ht="14.25" customHeight="1" x14ac:dyDescent="0.3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</row>
    <row r="568" spans="1:47" ht="14.25" customHeight="1" x14ac:dyDescent="0.3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</row>
    <row r="569" spans="1:47" ht="14.25" customHeight="1" x14ac:dyDescent="0.3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</row>
    <row r="570" spans="1:47" ht="14.25" customHeight="1" x14ac:dyDescent="0.3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</row>
    <row r="571" spans="1:47" ht="14.25" customHeight="1" x14ac:dyDescent="0.3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</row>
    <row r="572" spans="1:47" ht="14.25" customHeight="1" x14ac:dyDescent="0.3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</row>
    <row r="573" spans="1:47" ht="14.25" customHeight="1" x14ac:dyDescent="0.3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  <c r="AO573" s="109"/>
      <c r="AP573" s="109"/>
      <c r="AQ573" s="109"/>
      <c r="AR573" s="109"/>
      <c r="AS573" s="109"/>
      <c r="AT573" s="109"/>
      <c r="AU573" s="109"/>
    </row>
    <row r="574" spans="1:47" ht="14.25" customHeight="1" x14ac:dyDescent="0.3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Q574" s="109"/>
      <c r="AR574" s="109"/>
      <c r="AS574" s="109"/>
      <c r="AT574" s="109"/>
      <c r="AU574" s="109"/>
    </row>
    <row r="575" spans="1:47" ht="14.25" customHeight="1" x14ac:dyDescent="0.3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  <c r="AO575" s="109"/>
      <c r="AP575" s="109"/>
      <c r="AQ575" s="109"/>
      <c r="AR575" s="109"/>
      <c r="AS575" s="109"/>
      <c r="AT575" s="109"/>
      <c r="AU575" s="109"/>
    </row>
    <row r="576" spans="1:47" ht="14.25" customHeight="1" x14ac:dyDescent="0.3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  <c r="AO576" s="109"/>
      <c r="AP576" s="109"/>
      <c r="AQ576" s="109"/>
      <c r="AR576" s="109"/>
      <c r="AS576" s="109"/>
      <c r="AT576" s="109"/>
      <c r="AU576" s="109"/>
    </row>
    <row r="577" spans="1:47" ht="14.25" customHeight="1" x14ac:dyDescent="0.3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</row>
    <row r="578" spans="1:47" ht="14.25" customHeight="1" x14ac:dyDescent="0.3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09"/>
      <c r="AP578" s="109"/>
      <c r="AQ578" s="109"/>
      <c r="AR578" s="109"/>
      <c r="AS578" s="109"/>
      <c r="AT578" s="109"/>
      <c r="AU578" s="109"/>
    </row>
    <row r="579" spans="1:47" ht="14.25" customHeight="1" x14ac:dyDescent="0.3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09"/>
      <c r="AP579" s="109"/>
      <c r="AQ579" s="109"/>
      <c r="AR579" s="109"/>
      <c r="AS579" s="109"/>
      <c r="AT579" s="109"/>
      <c r="AU579" s="109"/>
    </row>
    <row r="580" spans="1:47" ht="14.25" customHeight="1" x14ac:dyDescent="0.3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  <c r="AO580" s="109"/>
      <c r="AP580" s="109"/>
      <c r="AQ580" s="109"/>
      <c r="AR580" s="109"/>
      <c r="AS580" s="109"/>
      <c r="AT580" s="109"/>
      <c r="AU580" s="109"/>
    </row>
    <row r="581" spans="1:47" ht="14.25" customHeight="1" x14ac:dyDescent="0.3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Q581" s="109"/>
      <c r="AR581" s="109"/>
      <c r="AS581" s="109"/>
      <c r="AT581" s="109"/>
      <c r="AU581" s="109"/>
    </row>
    <row r="582" spans="1:47" ht="14.25" customHeight="1" x14ac:dyDescent="0.3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09"/>
      <c r="AP582" s="109"/>
      <c r="AQ582" s="109"/>
      <c r="AR582" s="109"/>
      <c r="AS582" s="109"/>
      <c r="AT582" s="109"/>
      <c r="AU582" s="109"/>
    </row>
    <row r="583" spans="1:47" ht="14.25" customHeight="1" x14ac:dyDescent="0.3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09"/>
      <c r="AP583" s="109"/>
      <c r="AQ583" s="109"/>
      <c r="AR583" s="109"/>
      <c r="AS583" s="109"/>
      <c r="AT583" s="109"/>
      <c r="AU583" s="109"/>
    </row>
    <row r="584" spans="1:47" ht="14.25" customHeight="1" x14ac:dyDescent="0.3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09"/>
      <c r="AP584" s="109"/>
      <c r="AQ584" s="109"/>
      <c r="AR584" s="109"/>
      <c r="AS584" s="109"/>
      <c r="AT584" s="109"/>
      <c r="AU584" s="109"/>
    </row>
    <row r="585" spans="1:47" ht="14.25" customHeight="1" x14ac:dyDescent="0.3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09"/>
      <c r="AP585" s="109"/>
      <c r="AQ585" s="109"/>
      <c r="AR585" s="109"/>
      <c r="AS585" s="109"/>
      <c r="AT585" s="109"/>
      <c r="AU585" s="109"/>
    </row>
    <row r="586" spans="1:47" ht="14.25" customHeight="1" x14ac:dyDescent="0.3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09"/>
      <c r="AP586" s="109"/>
      <c r="AQ586" s="109"/>
      <c r="AR586" s="109"/>
      <c r="AS586" s="109"/>
      <c r="AT586" s="109"/>
      <c r="AU586" s="109"/>
    </row>
    <row r="587" spans="1:47" ht="14.25" customHeight="1" x14ac:dyDescent="0.3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09"/>
      <c r="AP587" s="109"/>
      <c r="AQ587" s="109"/>
      <c r="AR587" s="109"/>
      <c r="AS587" s="109"/>
      <c r="AT587" s="109"/>
      <c r="AU587" s="109"/>
    </row>
    <row r="588" spans="1:47" ht="14.25" customHeight="1" x14ac:dyDescent="0.3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09"/>
      <c r="AP588" s="109"/>
      <c r="AQ588" s="109"/>
      <c r="AR588" s="109"/>
      <c r="AS588" s="109"/>
      <c r="AT588" s="109"/>
      <c r="AU588" s="109"/>
    </row>
    <row r="589" spans="1:47" ht="14.25" customHeight="1" x14ac:dyDescent="0.3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09"/>
      <c r="AP589" s="109"/>
      <c r="AQ589" s="109"/>
      <c r="AR589" s="109"/>
      <c r="AS589" s="109"/>
      <c r="AT589" s="109"/>
      <c r="AU589" s="109"/>
    </row>
    <row r="590" spans="1:47" ht="14.25" customHeight="1" x14ac:dyDescent="0.3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</row>
    <row r="591" spans="1:47" ht="14.25" customHeight="1" x14ac:dyDescent="0.3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</row>
    <row r="592" spans="1:47" ht="14.25" customHeight="1" x14ac:dyDescent="0.3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  <c r="AO592" s="109"/>
      <c r="AP592" s="109"/>
      <c r="AQ592" s="109"/>
      <c r="AR592" s="109"/>
      <c r="AS592" s="109"/>
      <c r="AT592" s="109"/>
      <c r="AU592" s="109"/>
    </row>
    <row r="593" spans="1:47" ht="14.25" customHeight="1" x14ac:dyDescent="0.3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  <c r="AO593" s="109"/>
      <c r="AP593" s="109"/>
      <c r="AQ593" s="109"/>
      <c r="AR593" s="109"/>
      <c r="AS593" s="109"/>
      <c r="AT593" s="109"/>
      <c r="AU593" s="109"/>
    </row>
    <row r="594" spans="1:47" ht="14.25" customHeight="1" x14ac:dyDescent="0.3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09"/>
      <c r="AP594" s="109"/>
      <c r="AQ594" s="109"/>
      <c r="AR594" s="109"/>
      <c r="AS594" s="109"/>
      <c r="AT594" s="109"/>
      <c r="AU594" s="109"/>
    </row>
    <row r="595" spans="1:47" ht="14.25" customHeight="1" x14ac:dyDescent="0.3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  <c r="AO595" s="109"/>
      <c r="AP595" s="109"/>
      <c r="AQ595" s="109"/>
      <c r="AR595" s="109"/>
      <c r="AS595" s="109"/>
      <c r="AT595" s="109"/>
      <c r="AU595" s="109"/>
    </row>
    <row r="596" spans="1:47" ht="14.25" customHeight="1" x14ac:dyDescent="0.3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  <c r="AO596" s="109"/>
      <c r="AP596" s="109"/>
      <c r="AQ596" s="109"/>
      <c r="AR596" s="109"/>
      <c r="AS596" s="109"/>
      <c r="AT596" s="109"/>
      <c r="AU596" s="109"/>
    </row>
    <row r="597" spans="1:47" ht="14.25" customHeight="1" x14ac:dyDescent="0.3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09"/>
      <c r="AP597" s="109"/>
      <c r="AQ597" s="109"/>
      <c r="AR597" s="109"/>
      <c r="AS597" s="109"/>
      <c r="AT597" s="109"/>
      <c r="AU597" s="109"/>
    </row>
    <row r="598" spans="1:47" ht="14.25" customHeight="1" x14ac:dyDescent="0.3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09"/>
      <c r="AP598" s="109"/>
      <c r="AQ598" s="109"/>
      <c r="AR598" s="109"/>
      <c r="AS598" s="109"/>
      <c r="AT598" s="109"/>
      <c r="AU598" s="109"/>
    </row>
    <row r="599" spans="1:47" ht="14.25" customHeight="1" x14ac:dyDescent="0.3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  <c r="AO599" s="109"/>
      <c r="AP599" s="109"/>
      <c r="AQ599" s="109"/>
      <c r="AR599" s="109"/>
      <c r="AS599" s="109"/>
      <c r="AT599" s="109"/>
      <c r="AU599" s="109"/>
    </row>
    <row r="600" spans="1:47" ht="14.25" customHeight="1" x14ac:dyDescent="0.3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</row>
    <row r="601" spans="1:47" ht="14.25" customHeight="1" x14ac:dyDescent="0.3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</row>
    <row r="602" spans="1:47" ht="14.25" customHeight="1" x14ac:dyDescent="0.3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09"/>
      <c r="AP602" s="109"/>
      <c r="AQ602" s="109"/>
      <c r="AR602" s="109"/>
      <c r="AS602" s="109"/>
      <c r="AT602" s="109"/>
      <c r="AU602" s="109"/>
    </row>
    <row r="603" spans="1:47" ht="14.25" customHeight="1" x14ac:dyDescent="0.3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  <c r="AO603" s="109"/>
      <c r="AP603" s="109"/>
      <c r="AQ603" s="109"/>
      <c r="AR603" s="109"/>
      <c r="AS603" s="109"/>
      <c r="AT603" s="109"/>
      <c r="AU603" s="109"/>
    </row>
    <row r="604" spans="1:47" ht="14.25" customHeight="1" x14ac:dyDescent="0.3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  <c r="AO604" s="109"/>
      <c r="AP604" s="109"/>
      <c r="AQ604" s="109"/>
      <c r="AR604" s="109"/>
      <c r="AS604" s="109"/>
      <c r="AT604" s="109"/>
      <c r="AU604" s="109"/>
    </row>
    <row r="605" spans="1:47" ht="14.25" customHeight="1" x14ac:dyDescent="0.3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  <c r="AO605" s="109"/>
      <c r="AP605" s="109"/>
      <c r="AQ605" s="109"/>
      <c r="AR605" s="109"/>
      <c r="AS605" s="109"/>
      <c r="AT605" s="109"/>
      <c r="AU605" s="109"/>
    </row>
    <row r="606" spans="1:47" ht="14.25" customHeight="1" x14ac:dyDescent="0.3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  <c r="AO606" s="109"/>
      <c r="AP606" s="109"/>
      <c r="AQ606" s="109"/>
      <c r="AR606" s="109"/>
      <c r="AS606" s="109"/>
      <c r="AT606" s="109"/>
      <c r="AU606" s="109"/>
    </row>
    <row r="607" spans="1:47" ht="14.25" customHeight="1" x14ac:dyDescent="0.3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109"/>
      <c r="AP607" s="109"/>
      <c r="AQ607" s="109"/>
      <c r="AR607" s="109"/>
      <c r="AS607" s="109"/>
      <c r="AT607" s="109"/>
      <c r="AU607" s="109"/>
    </row>
    <row r="608" spans="1:47" ht="14.25" customHeight="1" x14ac:dyDescent="0.3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</row>
    <row r="609" spans="1:47" ht="14.25" customHeight="1" x14ac:dyDescent="0.3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  <c r="AO609" s="109"/>
      <c r="AP609" s="109"/>
      <c r="AQ609" s="109"/>
      <c r="AR609" s="109"/>
      <c r="AS609" s="109"/>
      <c r="AT609" s="109"/>
      <c r="AU609" s="109"/>
    </row>
    <row r="610" spans="1:47" ht="14.25" customHeight="1" x14ac:dyDescent="0.3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09"/>
      <c r="AP610" s="109"/>
      <c r="AQ610" s="109"/>
      <c r="AR610" s="109"/>
      <c r="AS610" s="109"/>
      <c r="AT610" s="109"/>
      <c r="AU610" s="109"/>
    </row>
    <row r="611" spans="1:47" ht="14.25" customHeight="1" x14ac:dyDescent="0.3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  <c r="AO611" s="109"/>
      <c r="AP611" s="109"/>
      <c r="AQ611" s="109"/>
      <c r="AR611" s="109"/>
      <c r="AS611" s="109"/>
      <c r="AT611" s="109"/>
      <c r="AU611" s="109"/>
    </row>
    <row r="612" spans="1:47" ht="14.25" customHeight="1" x14ac:dyDescent="0.3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09"/>
      <c r="AP612" s="109"/>
      <c r="AQ612" s="109"/>
      <c r="AR612" s="109"/>
      <c r="AS612" s="109"/>
      <c r="AT612" s="109"/>
      <c r="AU612" s="109"/>
    </row>
    <row r="613" spans="1:47" ht="14.25" customHeight="1" x14ac:dyDescent="0.3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</row>
    <row r="614" spans="1:47" ht="14.25" customHeight="1" x14ac:dyDescent="0.3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09"/>
      <c r="AP614" s="109"/>
      <c r="AQ614" s="109"/>
      <c r="AR614" s="109"/>
      <c r="AS614" s="109"/>
      <c r="AT614" s="109"/>
      <c r="AU614" s="109"/>
    </row>
    <row r="615" spans="1:47" ht="14.25" customHeight="1" x14ac:dyDescent="0.3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  <c r="AO615" s="109"/>
      <c r="AP615" s="109"/>
      <c r="AQ615" s="109"/>
      <c r="AR615" s="109"/>
      <c r="AS615" s="109"/>
      <c r="AT615" s="109"/>
      <c r="AU615" s="109"/>
    </row>
    <row r="616" spans="1:47" ht="14.25" customHeight="1" x14ac:dyDescent="0.3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09"/>
      <c r="AP616" s="109"/>
      <c r="AQ616" s="109"/>
      <c r="AR616" s="109"/>
      <c r="AS616" s="109"/>
      <c r="AT616" s="109"/>
      <c r="AU616" s="109"/>
    </row>
    <row r="617" spans="1:47" ht="14.25" customHeight="1" x14ac:dyDescent="0.3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  <c r="AO617" s="109"/>
      <c r="AP617" s="109"/>
      <c r="AQ617" s="109"/>
      <c r="AR617" s="109"/>
      <c r="AS617" s="109"/>
      <c r="AT617" s="109"/>
      <c r="AU617" s="109"/>
    </row>
    <row r="618" spans="1:47" ht="14.25" customHeight="1" x14ac:dyDescent="0.3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  <c r="AO618" s="109"/>
      <c r="AP618" s="109"/>
      <c r="AQ618" s="109"/>
      <c r="AR618" s="109"/>
      <c r="AS618" s="109"/>
      <c r="AT618" s="109"/>
      <c r="AU618" s="109"/>
    </row>
    <row r="619" spans="1:47" ht="14.25" customHeight="1" x14ac:dyDescent="0.3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  <c r="AO619" s="109"/>
      <c r="AP619" s="109"/>
      <c r="AQ619" s="109"/>
      <c r="AR619" s="109"/>
      <c r="AS619" s="109"/>
      <c r="AT619" s="109"/>
      <c r="AU619" s="109"/>
    </row>
    <row r="620" spans="1:47" ht="14.25" customHeight="1" x14ac:dyDescent="0.3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  <c r="AO620" s="109"/>
      <c r="AP620" s="109"/>
      <c r="AQ620" s="109"/>
      <c r="AR620" s="109"/>
      <c r="AS620" s="109"/>
      <c r="AT620" s="109"/>
      <c r="AU620" s="109"/>
    </row>
    <row r="621" spans="1:47" ht="14.25" customHeight="1" x14ac:dyDescent="0.3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  <c r="AO621" s="109"/>
      <c r="AP621" s="109"/>
      <c r="AQ621" s="109"/>
      <c r="AR621" s="109"/>
      <c r="AS621" s="109"/>
      <c r="AT621" s="109"/>
      <c r="AU621" s="109"/>
    </row>
    <row r="622" spans="1:47" ht="14.25" customHeight="1" x14ac:dyDescent="0.3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</row>
    <row r="623" spans="1:47" ht="14.25" customHeight="1" x14ac:dyDescent="0.3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</row>
    <row r="624" spans="1:47" ht="14.25" customHeight="1" x14ac:dyDescent="0.3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</row>
    <row r="625" spans="1:47" ht="14.25" customHeight="1" x14ac:dyDescent="0.3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</row>
    <row r="626" spans="1:47" ht="14.25" customHeight="1" x14ac:dyDescent="0.3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09"/>
      <c r="AP626" s="109"/>
      <c r="AQ626" s="109"/>
      <c r="AR626" s="109"/>
      <c r="AS626" s="109"/>
      <c r="AT626" s="109"/>
      <c r="AU626" s="109"/>
    </row>
    <row r="627" spans="1:47" ht="14.25" customHeight="1" x14ac:dyDescent="0.3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</row>
    <row r="628" spans="1:47" ht="14.25" customHeight="1" x14ac:dyDescent="0.3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</row>
    <row r="629" spans="1:47" ht="14.25" customHeight="1" x14ac:dyDescent="0.3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09"/>
      <c r="AP629" s="109"/>
      <c r="AQ629" s="109"/>
      <c r="AR629" s="109"/>
      <c r="AS629" s="109"/>
      <c r="AT629" s="109"/>
      <c r="AU629" s="109"/>
    </row>
    <row r="630" spans="1:47" ht="14.25" customHeight="1" x14ac:dyDescent="0.3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  <c r="AO630" s="109"/>
      <c r="AP630" s="109"/>
      <c r="AQ630" s="109"/>
      <c r="AR630" s="109"/>
      <c r="AS630" s="109"/>
      <c r="AT630" s="109"/>
      <c r="AU630" s="109"/>
    </row>
    <row r="631" spans="1:47" ht="14.25" customHeight="1" x14ac:dyDescent="0.3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  <c r="AO631" s="109"/>
      <c r="AP631" s="109"/>
      <c r="AQ631" s="109"/>
      <c r="AR631" s="109"/>
      <c r="AS631" s="109"/>
      <c r="AT631" s="109"/>
      <c r="AU631" s="109"/>
    </row>
    <row r="632" spans="1:47" ht="14.25" customHeight="1" x14ac:dyDescent="0.3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  <c r="AO632" s="109"/>
      <c r="AP632" s="109"/>
      <c r="AQ632" s="109"/>
      <c r="AR632" s="109"/>
      <c r="AS632" s="109"/>
      <c r="AT632" s="109"/>
      <c r="AU632" s="109"/>
    </row>
    <row r="633" spans="1:47" ht="14.25" customHeight="1" x14ac:dyDescent="0.3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  <c r="AO633" s="109"/>
      <c r="AP633" s="109"/>
      <c r="AQ633" s="109"/>
      <c r="AR633" s="109"/>
      <c r="AS633" s="109"/>
      <c r="AT633" s="109"/>
      <c r="AU633" s="109"/>
    </row>
    <row r="634" spans="1:47" ht="14.25" customHeight="1" x14ac:dyDescent="0.3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09"/>
      <c r="AP634" s="109"/>
      <c r="AQ634" s="109"/>
      <c r="AR634" s="109"/>
      <c r="AS634" s="109"/>
      <c r="AT634" s="109"/>
      <c r="AU634" s="109"/>
    </row>
    <row r="635" spans="1:47" ht="14.25" customHeight="1" x14ac:dyDescent="0.3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09"/>
      <c r="AP635" s="109"/>
      <c r="AQ635" s="109"/>
      <c r="AR635" s="109"/>
      <c r="AS635" s="109"/>
      <c r="AT635" s="109"/>
      <c r="AU635" s="109"/>
    </row>
    <row r="636" spans="1:47" ht="14.25" customHeight="1" x14ac:dyDescent="0.3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  <c r="AO636" s="109"/>
      <c r="AP636" s="109"/>
      <c r="AQ636" s="109"/>
      <c r="AR636" s="109"/>
      <c r="AS636" s="109"/>
      <c r="AT636" s="109"/>
      <c r="AU636" s="109"/>
    </row>
    <row r="637" spans="1:47" ht="14.25" customHeight="1" x14ac:dyDescent="0.3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  <c r="AO637" s="109"/>
      <c r="AP637" s="109"/>
      <c r="AQ637" s="109"/>
      <c r="AR637" s="109"/>
      <c r="AS637" s="109"/>
      <c r="AT637" s="109"/>
      <c r="AU637" s="109"/>
    </row>
    <row r="638" spans="1:47" ht="14.25" customHeight="1" x14ac:dyDescent="0.3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  <c r="AO638" s="109"/>
      <c r="AP638" s="109"/>
      <c r="AQ638" s="109"/>
      <c r="AR638" s="109"/>
      <c r="AS638" s="109"/>
      <c r="AT638" s="109"/>
      <c r="AU638" s="109"/>
    </row>
    <row r="639" spans="1:47" ht="14.25" customHeight="1" x14ac:dyDescent="0.3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  <c r="AO639" s="109"/>
      <c r="AP639" s="109"/>
      <c r="AQ639" s="109"/>
      <c r="AR639" s="109"/>
      <c r="AS639" s="109"/>
      <c r="AT639" s="109"/>
      <c r="AU639" s="109"/>
    </row>
    <row r="640" spans="1:47" ht="14.25" customHeight="1" x14ac:dyDescent="0.3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  <c r="AO640" s="109"/>
      <c r="AP640" s="109"/>
      <c r="AQ640" s="109"/>
      <c r="AR640" s="109"/>
      <c r="AS640" s="109"/>
      <c r="AT640" s="109"/>
      <c r="AU640" s="109"/>
    </row>
    <row r="641" spans="1:47" ht="14.25" customHeight="1" x14ac:dyDescent="0.3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/>
      <c r="AM641" s="109"/>
      <c r="AN641" s="109"/>
      <c r="AO641" s="109"/>
      <c r="AP641" s="109"/>
      <c r="AQ641" s="109"/>
      <c r="AR641" s="109"/>
      <c r="AS641" s="109"/>
      <c r="AT641" s="109"/>
      <c r="AU641" s="109"/>
    </row>
    <row r="642" spans="1:47" ht="14.25" customHeight="1" x14ac:dyDescent="0.3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  <c r="AO642" s="109"/>
      <c r="AP642" s="109"/>
      <c r="AQ642" s="109"/>
      <c r="AR642" s="109"/>
      <c r="AS642" s="109"/>
      <c r="AT642" s="109"/>
      <c r="AU642" s="109"/>
    </row>
    <row r="643" spans="1:47" ht="14.25" customHeight="1" x14ac:dyDescent="0.3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  <c r="AO643" s="109"/>
      <c r="AP643" s="109"/>
      <c r="AQ643" s="109"/>
      <c r="AR643" s="109"/>
      <c r="AS643" s="109"/>
      <c r="AT643" s="109"/>
      <c r="AU643" s="109"/>
    </row>
    <row r="644" spans="1:47" ht="14.25" customHeight="1" x14ac:dyDescent="0.3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  <c r="AL644" s="109"/>
      <c r="AM644" s="109"/>
      <c r="AN644" s="109"/>
      <c r="AO644" s="109"/>
      <c r="AP644" s="109"/>
      <c r="AQ644" s="109"/>
      <c r="AR644" s="109"/>
      <c r="AS644" s="109"/>
      <c r="AT644" s="109"/>
      <c r="AU644" s="109"/>
    </row>
    <row r="645" spans="1:47" ht="14.25" customHeight="1" x14ac:dyDescent="0.3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  <c r="AL645" s="109"/>
      <c r="AM645" s="109"/>
      <c r="AN645" s="109"/>
      <c r="AO645" s="109"/>
      <c r="AP645" s="109"/>
      <c r="AQ645" s="109"/>
      <c r="AR645" s="109"/>
      <c r="AS645" s="109"/>
      <c r="AT645" s="109"/>
      <c r="AU645" s="109"/>
    </row>
    <row r="646" spans="1:47" ht="14.25" customHeight="1" x14ac:dyDescent="0.3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  <c r="AO646" s="109"/>
      <c r="AP646" s="109"/>
      <c r="AQ646" s="109"/>
      <c r="AR646" s="109"/>
      <c r="AS646" s="109"/>
      <c r="AT646" s="109"/>
      <c r="AU646" s="109"/>
    </row>
    <row r="647" spans="1:47" ht="14.25" customHeight="1" x14ac:dyDescent="0.3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  <c r="AO647" s="109"/>
      <c r="AP647" s="109"/>
      <c r="AQ647" s="109"/>
      <c r="AR647" s="109"/>
      <c r="AS647" s="109"/>
      <c r="AT647" s="109"/>
      <c r="AU647" s="109"/>
    </row>
    <row r="648" spans="1:47" ht="14.25" customHeight="1" x14ac:dyDescent="0.3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  <c r="AL648" s="109"/>
      <c r="AM648" s="109"/>
      <c r="AN648" s="109"/>
      <c r="AO648" s="109"/>
      <c r="AP648" s="109"/>
      <c r="AQ648" s="109"/>
      <c r="AR648" s="109"/>
      <c r="AS648" s="109"/>
      <c r="AT648" s="109"/>
      <c r="AU648" s="109"/>
    </row>
    <row r="649" spans="1:47" ht="14.25" customHeight="1" x14ac:dyDescent="0.3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/>
      <c r="AM649" s="109"/>
      <c r="AN649" s="109"/>
      <c r="AO649" s="109"/>
      <c r="AP649" s="109"/>
      <c r="AQ649" s="109"/>
      <c r="AR649" s="109"/>
      <c r="AS649" s="109"/>
      <c r="AT649" s="109"/>
      <c r="AU649" s="109"/>
    </row>
    <row r="650" spans="1:47" ht="14.25" customHeight="1" x14ac:dyDescent="0.3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  <c r="AO650" s="109"/>
      <c r="AP650" s="109"/>
      <c r="AQ650" s="109"/>
      <c r="AR650" s="109"/>
      <c r="AS650" s="109"/>
      <c r="AT650" s="109"/>
      <c r="AU650" s="109"/>
    </row>
    <row r="651" spans="1:47" ht="14.25" customHeight="1" x14ac:dyDescent="0.3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  <c r="AO651" s="109"/>
      <c r="AP651" s="109"/>
      <c r="AQ651" s="109"/>
      <c r="AR651" s="109"/>
      <c r="AS651" s="109"/>
      <c r="AT651" s="109"/>
      <c r="AU651" s="109"/>
    </row>
    <row r="652" spans="1:47" ht="14.25" customHeight="1" x14ac:dyDescent="0.3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  <c r="AO652" s="109"/>
      <c r="AP652" s="109"/>
      <c r="AQ652" s="109"/>
      <c r="AR652" s="109"/>
      <c r="AS652" s="109"/>
      <c r="AT652" s="109"/>
      <c r="AU652" s="109"/>
    </row>
    <row r="653" spans="1:47" ht="14.25" customHeight="1" x14ac:dyDescent="0.3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/>
      <c r="AM653" s="109"/>
      <c r="AN653" s="109"/>
      <c r="AO653" s="109"/>
      <c r="AP653" s="109"/>
      <c r="AQ653" s="109"/>
      <c r="AR653" s="109"/>
      <c r="AS653" s="109"/>
      <c r="AT653" s="109"/>
      <c r="AU653" s="109"/>
    </row>
    <row r="654" spans="1:47" ht="14.25" customHeight="1" x14ac:dyDescent="0.3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09"/>
      <c r="AM654" s="109"/>
      <c r="AN654" s="109"/>
      <c r="AO654" s="109"/>
      <c r="AP654" s="109"/>
      <c r="AQ654" s="109"/>
      <c r="AR654" s="109"/>
      <c r="AS654" s="109"/>
      <c r="AT654" s="109"/>
      <c r="AU654" s="109"/>
    </row>
    <row r="655" spans="1:47" ht="14.25" customHeight="1" x14ac:dyDescent="0.3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  <c r="AL655" s="109"/>
      <c r="AM655" s="109"/>
      <c r="AN655" s="109"/>
      <c r="AO655" s="109"/>
      <c r="AP655" s="109"/>
      <c r="AQ655" s="109"/>
      <c r="AR655" s="109"/>
      <c r="AS655" s="109"/>
      <c r="AT655" s="109"/>
      <c r="AU655" s="109"/>
    </row>
    <row r="656" spans="1:47" ht="14.25" customHeight="1" x14ac:dyDescent="0.3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/>
      <c r="AM656" s="109"/>
      <c r="AN656" s="109"/>
      <c r="AO656" s="109"/>
      <c r="AP656" s="109"/>
      <c r="AQ656" s="109"/>
      <c r="AR656" s="109"/>
      <c r="AS656" s="109"/>
      <c r="AT656" s="109"/>
      <c r="AU656" s="109"/>
    </row>
    <row r="657" spans="1:47" ht="14.25" customHeight="1" x14ac:dyDescent="0.3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  <c r="AO657" s="109"/>
      <c r="AP657" s="109"/>
      <c r="AQ657" s="109"/>
      <c r="AR657" s="109"/>
      <c r="AS657" s="109"/>
      <c r="AT657" s="109"/>
      <c r="AU657" s="109"/>
    </row>
    <row r="658" spans="1:47" ht="14.25" customHeight="1" x14ac:dyDescent="0.3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  <c r="AL658" s="109"/>
      <c r="AM658" s="109"/>
      <c r="AN658" s="109"/>
      <c r="AO658" s="109"/>
      <c r="AP658" s="109"/>
      <c r="AQ658" s="109"/>
      <c r="AR658" s="109"/>
      <c r="AS658" s="109"/>
      <c r="AT658" s="109"/>
      <c r="AU658" s="109"/>
    </row>
    <row r="659" spans="1:47" ht="14.25" customHeight="1" x14ac:dyDescent="0.3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  <c r="AO659" s="109"/>
      <c r="AP659" s="109"/>
      <c r="AQ659" s="109"/>
      <c r="AR659" s="109"/>
      <c r="AS659" s="109"/>
      <c r="AT659" s="109"/>
      <c r="AU659" s="109"/>
    </row>
    <row r="660" spans="1:47" ht="14.25" customHeight="1" x14ac:dyDescent="0.3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  <c r="AL660" s="109"/>
      <c r="AM660" s="109"/>
      <c r="AN660" s="109"/>
      <c r="AO660" s="109"/>
      <c r="AP660" s="109"/>
      <c r="AQ660" s="109"/>
      <c r="AR660" s="109"/>
      <c r="AS660" s="109"/>
      <c r="AT660" s="109"/>
      <c r="AU660" s="109"/>
    </row>
    <row r="661" spans="1:47" ht="14.25" customHeight="1" x14ac:dyDescent="0.3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  <c r="AL661" s="109"/>
      <c r="AM661" s="109"/>
      <c r="AN661" s="109"/>
      <c r="AO661" s="109"/>
      <c r="AP661" s="109"/>
      <c r="AQ661" s="109"/>
      <c r="AR661" s="109"/>
      <c r="AS661" s="109"/>
      <c r="AT661" s="109"/>
      <c r="AU661" s="109"/>
    </row>
    <row r="662" spans="1:47" ht="14.25" customHeight="1" x14ac:dyDescent="0.3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  <c r="AO662" s="109"/>
      <c r="AP662" s="109"/>
      <c r="AQ662" s="109"/>
      <c r="AR662" s="109"/>
      <c r="AS662" s="109"/>
      <c r="AT662" s="109"/>
      <c r="AU662" s="109"/>
    </row>
    <row r="663" spans="1:47" ht="14.25" customHeight="1" x14ac:dyDescent="0.3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  <c r="AO663" s="109"/>
      <c r="AP663" s="109"/>
      <c r="AQ663" s="109"/>
      <c r="AR663" s="109"/>
      <c r="AS663" s="109"/>
      <c r="AT663" s="109"/>
      <c r="AU663" s="109"/>
    </row>
    <row r="664" spans="1:47" ht="14.25" customHeight="1" x14ac:dyDescent="0.3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  <c r="AO664" s="109"/>
      <c r="AP664" s="109"/>
      <c r="AQ664" s="109"/>
      <c r="AR664" s="109"/>
      <c r="AS664" s="109"/>
      <c r="AT664" s="109"/>
      <c r="AU664" s="109"/>
    </row>
    <row r="665" spans="1:47" ht="14.25" customHeight="1" x14ac:dyDescent="0.3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/>
      <c r="AM665" s="109"/>
      <c r="AN665" s="109"/>
      <c r="AO665" s="109"/>
      <c r="AP665" s="109"/>
      <c r="AQ665" s="109"/>
      <c r="AR665" s="109"/>
      <c r="AS665" s="109"/>
      <c r="AT665" s="109"/>
      <c r="AU665" s="109"/>
    </row>
    <row r="666" spans="1:47" ht="14.25" customHeight="1" x14ac:dyDescent="0.3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  <c r="AO666" s="109"/>
      <c r="AP666" s="109"/>
      <c r="AQ666" s="109"/>
      <c r="AR666" s="109"/>
      <c r="AS666" s="109"/>
      <c r="AT666" s="109"/>
      <c r="AU666" s="109"/>
    </row>
    <row r="667" spans="1:47" ht="14.25" customHeight="1" x14ac:dyDescent="0.3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  <c r="AO667" s="109"/>
      <c r="AP667" s="109"/>
      <c r="AQ667" s="109"/>
      <c r="AR667" s="109"/>
      <c r="AS667" s="109"/>
      <c r="AT667" s="109"/>
      <c r="AU667" s="109"/>
    </row>
    <row r="668" spans="1:47" ht="14.25" customHeight="1" x14ac:dyDescent="0.3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  <c r="AO668" s="109"/>
      <c r="AP668" s="109"/>
      <c r="AQ668" s="109"/>
      <c r="AR668" s="109"/>
      <c r="AS668" s="109"/>
      <c r="AT668" s="109"/>
      <c r="AU668" s="109"/>
    </row>
    <row r="669" spans="1:47" ht="14.25" customHeight="1" x14ac:dyDescent="0.3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  <c r="AO669" s="109"/>
      <c r="AP669" s="109"/>
      <c r="AQ669" s="109"/>
      <c r="AR669" s="109"/>
      <c r="AS669" s="109"/>
      <c r="AT669" s="109"/>
      <c r="AU669" s="109"/>
    </row>
    <row r="670" spans="1:47" ht="14.25" customHeight="1" x14ac:dyDescent="0.3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/>
      <c r="AM670" s="109"/>
      <c r="AN670" s="109"/>
      <c r="AO670" s="109"/>
      <c r="AP670" s="109"/>
      <c r="AQ670" s="109"/>
      <c r="AR670" s="109"/>
      <c r="AS670" s="109"/>
      <c r="AT670" s="109"/>
      <c r="AU670" s="109"/>
    </row>
    <row r="671" spans="1:47" ht="14.25" customHeight="1" x14ac:dyDescent="0.3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  <c r="AL671" s="109"/>
      <c r="AM671" s="109"/>
      <c r="AN671" s="109"/>
      <c r="AO671" s="109"/>
      <c r="AP671" s="109"/>
      <c r="AQ671" s="109"/>
      <c r="AR671" s="109"/>
      <c r="AS671" s="109"/>
      <c r="AT671" s="109"/>
      <c r="AU671" s="109"/>
    </row>
    <row r="672" spans="1:47" ht="14.25" customHeight="1" x14ac:dyDescent="0.3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/>
      <c r="AM672" s="109"/>
      <c r="AN672" s="109"/>
      <c r="AO672" s="109"/>
      <c r="AP672" s="109"/>
      <c r="AQ672" s="109"/>
      <c r="AR672" s="109"/>
      <c r="AS672" s="109"/>
      <c r="AT672" s="109"/>
      <c r="AU672" s="109"/>
    </row>
    <row r="673" spans="1:47" ht="14.25" customHeight="1" x14ac:dyDescent="0.3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/>
      <c r="AM673" s="109"/>
      <c r="AN673" s="109"/>
      <c r="AO673" s="109"/>
      <c r="AP673" s="109"/>
      <c r="AQ673" s="109"/>
      <c r="AR673" s="109"/>
      <c r="AS673" s="109"/>
      <c r="AT673" s="109"/>
      <c r="AU673" s="109"/>
    </row>
    <row r="674" spans="1:47" ht="14.25" customHeight="1" x14ac:dyDescent="0.3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  <c r="AO674" s="109"/>
      <c r="AP674" s="109"/>
      <c r="AQ674" s="109"/>
      <c r="AR674" s="109"/>
      <c r="AS674" s="109"/>
      <c r="AT674" s="109"/>
      <c r="AU674" s="109"/>
    </row>
    <row r="675" spans="1:47" ht="14.25" customHeight="1" x14ac:dyDescent="0.3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/>
      <c r="AM675" s="109"/>
      <c r="AN675" s="109"/>
      <c r="AO675" s="109"/>
      <c r="AP675" s="109"/>
      <c r="AQ675" s="109"/>
      <c r="AR675" s="109"/>
      <c r="AS675" s="109"/>
      <c r="AT675" s="109"/>
      <c r="AU675" s="109"/>
    </row>
    <row r="676" spans="1:47" ht="14.25" customHeight="1" x14ac:dyDescent="0.3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/>
      <c r="AM676" s="109"/>
      <c r="AN676" s="109"/>
      <c r="AO676" s="109"/>
      <c r="AP676" s="109"/>
      <c r="AQ676" s="109"/>
      <c r="AR676" s="109"/>
      <c r="AS676" s="109"/>
      <c r="AT676" s="109"/>
      <c r="AU676" s="109"/>
    </row>
    <row r="677" spans="1:47" ht="14.25" customHeight="1" x14ac:dyDescent="0.3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/>
      <c r="AM677" s="109"/>
      <c r="AN677" s="109"/>
      <c r="AO677" s="109"/>
      <c r="AP677" s="109"/>
      <c r="AQ677" s="109"/>
      <c r="AR677" s="109"/>
      <c r="AS677" s="109"/>
      <c r="AT677" s="109"/>
      <c r="AU677" s="109"/>
    </row>
    <row r="678" spans="1:47" ht="14.25" customHeight="1" x14ac:dyDescent="0.3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  <c r="AO678" s="109"/>
      <c r="AP678" s="109"/>
      <c r="AQ678" s="109"/>
      <c r="AR678" s="109"/>
      <c r="AS678" s="109"/>
      <c r="AT678" s="109"/>
      <c r="AU678" s="109"/>
    </row>
    <row r="679" spans="1:47" ht="14.25" customHeight="1" x14ac:dyDescent="0.3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  <c r="AO679" s="109"/>
      <c r="AP679" s="109"/>
      <c r="AQ679" s="109"/>
      <c r="AR679" s="109"/>
      <c r="AS679" s="109"/>
      <c r="AT679" s="109"/>
      <c r="AU679" s="109"/>
    </row>
    <row r="680" spans="1:47" ht="14.25" customHeight="1" x14ac:dyDescent="0.3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  <c r="AO680" s="109"/>
      <c r="AP680" s="109"/>
      <c r="AQ680" s="109"/>
      <c r="AR680" s="109"/>
      <c r="AS680" s="109"/>
      <c r="AT680" s="109"/>
      <c r="AU680" s="109"/>
    </row>
    <row r="681" spans="1:47" ht="14.25" customHeight="1" x14ac:dyDescent="0.3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  <c r="AO681" s="109"/>
      <c r="AP681" s="109"/>
      <c r="AQ681" s="109"/>
      <c r="AR681" s="109"/>
      <c r="AS681" s="109"/>
      <c r="AT681" s="109"/>
      <c r="AU681" s="109"/>
    </row>
    <row r="682" spans="1:47" ht="14.25" customHeight="1" x14ac:dyDescent="0.3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  <c r="AL682" s="109"/>
      <c r="AM682" s="109"/>
      <c r="AN682" s="109"/>
      <c r="AO682" s="109"/>
      <c r="AP682" s="109"/>
      <c r="AQ682" s="109"/>
      <c r="AR682" s="109"/>
      <c r="AS682" s="109"/>
      <c r="AT682" s="109"/>
      <c r="AU682" s="109"/>
    </row>
    <row r="683" spans="1:47" ht="14.25" customHeight="1" x14ac:dyDescent="0.3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  <c r="AL683" s="109"/>
      <c r="AM683" s="109"/>
      <c r="AN683" s="109"/>
      <c r="AO683" s="109"/>
      <c r="AP683" s="109"/>
      <c r="AQ683" s="109"/>
      <c r="AR683" s="109"/>
      <c r="AS683" s="109"/>
      <c r="AT683" s="109"/>
      <c r="AU683" s="109"/>
    </row>
    <row r="684" spans="1:47" ht="14.25" customHeight="1" x14ac:dyDescent="0.3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  <c r="AL684" s="109"/>
      <c r="AM684" s="109"/>
      <c r="AN684" s="109"/>
      <c r="AO684" s="109"/>
      <c r="AP684" s="109"/>
      <c r="AQ684" s="109"/>
      <c r="AR684" s="109"/>
      <c r="AS684" s="109"/>
      <c r="AT684" s="109"/>
      <c r="AU684" s="109"/>
    </row>
    <row r="685" spans="1:47" ht="14.25" customHeight="1" x14ac:dyDescent="0.3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  <c r="AL685" s="109"/>
      <c r="AM685" s="109"/>
      <c r="AN685" s="109"/>
      <c r="AO685" s="109"/>
      <c r="AP685" s="109"/>
      <c r="AQ685" s="109"/>
      <c r="AR685" s="109"/>
      <c r="AS685" s="109"/>
      <c r="AT685" s="109"/>
      <c r="AU685" s="109"/>
    </row>
    <row r="686" spans="1:47" ht="14.25" customHeight="1" x14ac:dyDescent="0.3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  <c r="AL686" s="109"/>
      <c r="AM686" s="109"/>
      <c r="AN686" s="109"/>
      <c r="AO686" s="109"/>
      <c r="AP686" s="109"/>
      <c r="AQ686" s="109"/>
      <c r="AR686" s="109"/>
      <c r="AS686" s="109"/>
      <c r="AT686" s="109"/>
      <c r="AU686" s="109"/>
    </row>
    <row r="687" spans="1:47" ht="14.25" customHeight="1" x14ac:dyDescent="0.3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  <c r="AL687" s="109"/>
      <c r="AM687" s="109"/>
      <c r="AN687" s="109"/>
      <c r="AO687" s="109"/>
      <c r="AP687" s="109"/>
      <c r="AQ687" s="109"/>
      <c r="AR687" s="109"/>
      <c r="AS687" s="109"/>
      <c r="AT687" s="109"/>
      <c r="AU687" s="109"/>
    </row>
    <row r="688" spans="1:47" ht="14.25" customHeight="1" x14ac:dyDescent="0.3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  <c r="AL688" s="109"/>
      <c r="AM688" s="109"/>
      <c r="AN688" s="109"/>
      <c r="AO688" s="109"/>
      <c r="AP688" s="109"/>
      <c r="AQ688" s="109"/>
      <c r="AR688" s="109"/>
      <c r="AS688" s="109"/>
      <c r="AT688" s="109"/>
      <c r="AU688" s="109"/>
    </row>
    <row r="689" spans="1:47" ht="14.25" customHeight="1" x14ac:dyDescent="0.3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  <c r="AD689" s="109"/>
      <c r="AE689" s="109"/>
      <c r="AF689" s="109"/>
      <c r="AG689" s="109"/>
      <c r="AH689" s="109"/>
      <c r="AI689" s="109"/>
      <c r="AJ689" s="109"/>
      <c r="AK689" s="109"/>
      <c r="AL689" s="109"/>
      <c r="AM689" s="109"/>
      <c r="AN689" s="109"/>
      <c r="AO689" s="109"/>
      <c r="AP689" s="109"/>
      <c r="AQ689" s="109"/>
      <c r="AR689" s="109"/>
      <c r="AS689" s="109"/>
      <c r="AT689" s="109"/>
      <c r="AU689" s="109"/>
    </row>
    <row r="690" spans="1:47" ht="14.25" customHeight="1" x14ac:dyDescent="0.3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  <c r="AL690" s="109"/>
      <c r="AM690" s="109"/>
      <c r="AN690" s="109"/>
      <c r="AO690" s="109"/>
      <c r="AP690" s="109"/>
      <c r="AQ690" s="109"/>
      <c r="AR690" s="109"/>
      <c r="AS690" s="109"/>
      <c r="AT690" s="109"/>
      <c r="AU690" s="109"/>
    </row>
    <row r="691" spans="1:47" ht="14.25" customHeight="1" x14ac:dyDescent="0.3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  <c r="AL691" s="109"/>
      <c r="AM691" s="109"/>
      <c r="AN691" s="109"/>
      <c r="AO691" s="109"/>
      <c r="AP691" s="109"/>
      <c r="AQ691" s="109"/>
      <c r="AR691" s="109"/>
      <c r="AS691" s="109"/>
      <c r="AT691" s="109"/>
      <c r="AU691" s="109"/>
    </row>
    <row r="692" spans="1:47" ht="14.25" customHeight="1" x14ac:dyDescent="0.3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/>
      <c r="AM692" s="109"/>
      <c r="AN692" s="109"/>
      <c r="AO692" s="109"/>
      <c r="AP692" s="109"/>
      <c r="AQ692" s="109"/>
      <c r="AR692" s="109"/>
      <c r="AS692" s="109"/>
      <c r="AT692" s="109"/>
      <c r="AU692" s="109"/>
    </row>
    <row r="693" spans="1:47" ht="14.25" customHeight="1" x14ac:dyDescent="0.3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  <c r="AO693" s="109"/>
      <c r="AP693" s="109"/>
      <c r="AQ693" s="109"/>
      <c r="AR693" s="109"/>
      <c r="AS693" s="109"/>
      <c r="AT693" s="109"/>
      <c r="AU693" s="109"/>
    </row>
    <row r="694" spans="1:47" ht="14.25" customHeight="1" x14ac:dyDescent="0.3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  <c r="AL694" s="109"/>
      <c r="AM694" s="109"/>
      <c r="AN694" s="109"/>
      <c r="AO694" s="109"/>
      <c r="AP694" s="109"/>
      <c r="AQ694" s="109"/>
      <c r="AR694" s="109"/>
      <c r="AS694" s="109"/>
      <c r="AT694" s="109"/>
      <c r="AU694" s="109"/>
    </row>
    <row r="695" spans="1:47" ht="14.25" customHeight="1" x14ac:dyDescent="0.3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  <c r="AL695" s="109"/>
      <c r="AM695" s="109"/>
      <c r="AN695" s="109"/>
      <c r="AO695" s="109"/>
      <c r="AP695" s="109"/>
      <c r="AQ695" s="109"/>
      <c r="AR695" s="109"/>
      <c r="AS695" s="109"/>
      <c r="AT695" s="109"/>
      <c r="AU695" s="109"/>
    </row>
    <row r="696" spans="1:47" ht="14.25" customHeight="1" x14ac:dyDescent="0.3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  <c r="AL696" s="109"/>
      <c r="AM696" s="109"/>
      <c r="AN696" s="109"/>
      <c r="AO696" s="109"/>
      <c r="AP696" s="109"/>
      <c r="AQ696" s="109"/>
      <c r="AR696" s="109"/>
      <c r="AS696" s="109"/>
      <c r="AT696" s="109"/>
      <c r="AU696" s="109"/>
    </row>
    <row r="697" spans="1:47" ht="14.25" customHeight="1" x14ac:dyDescent="0.3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  <c r="AL697" s="109"/>
      <c r="AM697" s="109"/>
      <c r="AN697" s="109"/>
      <c r="AO697" s="109"/>
      <c r="AP697" s="109"/>
      <c r="AQ697" s="109"/>
      <c r="AR697" s="109"/>
      <c r="AS697" s="109"/>
      <c r="AT697" s="109"/>
      <c r="AU697" s="109"/>
    </row>
    <row r="698" spans="1:47" ht="14.25" customHeight="1" x14ac:dyDescent="0.3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  <c r="AD698" s="109"/>
      <c r="AE698" s="109"/>
      <c r="AF698" s="109"/>
      <c r="AG698" s="109"/>
      <c r="AH698" s="109"/>
      <c r="AI698" s="109"/>
      <c r="AJ698" s="109"/>
      <c r="AK698" s="109"/>
      <c r="AL698" s="109"/>
      <c r="AM698" s="109"/>
      <c r="AN698" s="109"/>
      <c r="AO698" s="109"/>
      <c r="AP698" s="109"/>
      <c r="AQ698" s="109"/>
      <c r="AR698" s="109"/>
      <c r="AS698" s="109"/>
      <c r="AT698" s="109"/>
      <c r="AU698" s="109"/>
    </row>
    <row r="699" spans="1:47" ht="14.25" customHeight="1" x14ac:dyDescent="0.3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  <c r="AL699" s="109"/>
      <c r="AM699" s="109"/>
      <c r="AN699" s="109"/>
      <c r="AO699" s="109"/>
      <c r="AP699" s="109"/>
      <c r="AQ699" s="109"/>
      <c r="AR699" s="109"/>
      <c r="AS699" s="109"/>
      <c r="AT699" s="109"/>
      <c r="AU699" s="109"/>
    </row>
    <row r="700" spans="1:47" ht="14.25" customHeight="1" x14ac:dyDescent="0.3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  <c r="AD700" s="109"/>
      <c r="AE700" s="109"/>
      <c r="AF700" s="109"/>
      <c r="AG700" s="109"/>
      <c r="AH700" s="109"/>
      <c r="AI700" s="109"/>
      <c r="AJ700" s="109"/>
      <c r="AK700" s="109"/>
      <c r="AL700" s="109"/>
      <c r="AM700" s="109"/>
      <c r="AN700" s="109"/>
      <c r="AO700" s="109"/>
      <c r="AP700" s="109"/>
      <c r="AQ700" s="109"/>
      <c r="AR700" s="109"/>
      <c r="AS700" s="109"/>
      <c r="AT700" s="109"/>
      <c r="AU700" s="109"/>
    </row>
    <row r="701" spans="1:47" ht="14.25" customHeight="1" x14ac:dyDescent="0.3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109"/>
      <c r="AK701" s="109"/>
      <c r="AL701" s="109"/>
      <c r="AM701" s="109"/>
      <c r="AN701" s="109"/>
      <c r="AO701" s="109"/>
      <c r="AP701" s="109"/>
      <c r="AQ701" s="109"/>
      <c r="AR701" s="109"/>
      <c r="AS701" s="109"/>
      <c r="AT701" s="109"/>
      <c r="AU701" s="109"/>
    </row>
    <row r="702" spans="1:47" ht="14.25" customHeight="1" x14ac:dyDescent="0.3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  <c r="AD702" s="109"/>
      <c r="AE702" s="109"/>
      <c r="AF702" s="109"/>
      <c r="AG702" s="109"/>
      <c r="AH702" s="109"/>
      <c r="AI702" s="109"/>
      <c r="AJ702" s="109"/>
      <c r="AK702" s="109"/>
      <c r="AL702" s="109"/>
      <c r="AM702" s="109"/>
      <c r="AN702" s="109"/>
      <c r="AO702" s="109"/>
      <c r="AP702" s="109"/>
      <c r="AQ702" s="109"/>
      <c r="AR702" s="109"/>
      <c r="AS702" s="109"/>
      <c r="AT702" s="109"/>
      <c r="AU702" s="109"/>
    </row>
    <row r="703" spans="1:47" ht="14.25" customHeight="1" x14ac:dyDescent="0.3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  <c r="AD703" s="109"/>
      <c r="AE703" s="109"/>
      <c r="AF703" s="109"/>
      <c r="AG703" s="109"/>
      <c r="AH703" s="109"/>
      <c r="AI703" s="109"/>
      <c r="AJ703" s="109"/>
      <c r="AK703" s="109"/>
      <c r="AL703" s="109"/>
      <c r="AM703" s="109"/>
      <c r="AN703" s="109"/>
      <c r="AO703" s="109"/>
      <c r="AP703" s="109"/>
      <c r="AQ703" s="109"/>
      <c r="AR703" s="109"/>
      <c r="AS703" s="109"/>
      <c r="AT703" s="109"/>
      <c r="AU703" s="109"/>
    </row>
    <row r="704" spans="1:47" ht="14.25" customHeight="1" x14ac:dyDescent="0.3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  <c r="AL704" s="109"/>
      <c r="AM704" s="109"/>
      <c r="AN704" s="109"/>
      <c r="AO704" s="109"/>
      <c r="AP704" s="109"/>
      <c r="AQ704" s="109"/>
      <c r="AR704" s="109"/>
      <c r="AS704" s="109"/>
      <c r="AT704" s="109"/>
      <c r="AU704" s="109"/>
    </row>
    <row r="705" spans="1:47" ht="14.25" customHeight="1" x14ac:dyDescent="0.3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  <c r="AL705" s="109"/>
      <c r="AM705" s="109"/>
      <c r="AN705" s="109"/>
      <c r="AO705" s="109"/>
      <c r="AP705" s="109"/>
      <c r="AQ705" s="109"/>
      <c r="AR705" s="109"/>
      <c r="AS705" s="109"/>
      <c r="AT705" s="109"/>
      <c r="AU705" s="109"/>
    </row>
    <row r="706" spans="1:47" ht="14.25" customHeight="1" x14ac:dyDescent="0.3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09"/>
      <c r="AJ706" s="109"/>
      <c r="AK706" s="109"/>
      <c r="AL706" s="109"/>
      <c r="AM706" s="109"/>
      <c r="AN706" s="109"/>
      <c r="AO706" s="109"/>
      <c r="AP706" s="109"/>
      <c r="AQ706" s="109"/>
      <c r="AR706" s="109"/>
      <c r="AS706" s="109"/>
      <c r="AT706" s="109"/>
      <c r="AU706" s="109"/>
    </row>
    <row r="707" spans="1:47" ht="14.25" customHeight="1" x14ac:dyDescent="0.3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  <c r="AD707" s="109"/>
      <c r="AE707" s="109"/>
      <c r="AF707" s="109"/>
      <c r="AG707" s="109"/>
      <c r="AH707" s="109"/>
      <c r="AI707" s="109"/>
      <c r="AJ707" s="109"/>
      <c r="AK707" s="109"/>
      <c r="AL707" s="109"/>
      <c r="AM707" s="109"/>
      <c r="AN707" s="109"/>
      <c r="AO707" s="109"/>
      <c r="AP707" s="109"/>
      <c r="AQ707" s="109"/>
      <c r="AR707" s="109"/>
      <c r="AS707" s="109"/>
      <c r="AT707" s="109"/>
      <c r="AU707" s="109"/>
    </row>
    <row r="708" spans="1:47" ht="14.25" customHeight="1" x14ac:dyDescent="0.3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  <c r="AD708" s="109"/>
      <c r="AE708" s="109"/>
      <c r="AF708" s="109"/>
      <c r="AG708" s="109"/>
      <c r="AH708" s="109"/>
      <c r="AI708" s="109"/>
      <c r="AJ708" s="109"/>
      <c r="AK708" s="109"/>
      <c r="AL708" s="109"/>
      <c r="AM708" s="109"/>
      <c r="AN708" s="109"/>
      <c r="AO708" s="109"/>
      <c r="AP708" s="109"/>
      <c r="AQ708" s="109"/>
      <c r="AR708" s="109"/>
      <c r="AS708" s="109"/>
      <c r="AT708" s="109"/>
      <c r="AU708" s="109"/>
    </row>
    <row r="709" spans="1:47" ht="14.25" customHeight="1" x14ac:dyDescent="0.3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  <c r="AD709" s="109"/>
      <c r="AE709" s="109"/>
      <c r="AF709" s="109"/>
      <c r="AG709" s="109"/>
      <c r="AH709" s="109"/>
      <c r="AI709" s="109"/>
      <c r="AJ709" s="109"/>
      <c r="AK709" s="109"/>
      <c r="AL709" s="109"/>
      <c r="AM709" s="109"/>
      <c r="AN709" s="109"/>
      <c r="AO709" s="109"/>
      <c r="AP709" s="109"/>
      <c r="AQ709" s="109"/>
      <c r="AR709" s="109"/>
      <c r="AS709" s="109"/>
      <c r="AT709" s="109"/>
      <c r="AU709" s="109"/>
    </row>
    <row r="710" spans="1:47" ht="14.25" customHeight="1" x14ac:dyDescent="0.3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  <c r="AD710" s="109"/>
      <c r="AE710" s="109"/>
      <c r="AF710" s="109"/>
      <c r="AG710" s="109"/>
      <c r="AH710" s="109"/>
      <c r="AI710" s="109"/>
      <c r="AJ710" s="109"/>
      <c r="AK710" s="109"/>
      <c r="AL710" s="109"/>
      <c r="AM710" s="109"/>
      <c r="AN710" s="109"/>
      <c r="AO710" s="109"/>
      <c r="AP710" s="109"/>
      <c r="AQ710" s="109"/>
      <c r="AR710" s="109"/>
      <c r="AS710" s="109"/>
      <c r="AT710" s="109"/>
      <c r="AU710" s="109"/>
    </row>
    <row r="711" spans="1:47" ht="14.25" customHeight="1" x14ac:dyDescent="0.3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  <c r="AD711" s="109"/>
      <c r="AE711" s="109"/>
      <c r="AF711" s="109"/>
      <c r="AG711" s="109"/>
      <c r="AH711" s="109"/>
      <c r="AI711" s="109"/>
      <c r="AJ711" s="109"/>
      <c r="AK711" s="109"/>
      <c r="AL711" s="109"/>
      <c r="AM711" s="109"/>
      <c r="AN711" s="109"/>
      <c r="AO711" s="109"/>
      <c r="AP711" s="109"/>
      <c r="AQ711" s="109"/>
      <c r="AR711" s="109"/>
      <c r="AS711" s="109"/>
      <c r="AT711" s="109"/>
      <c r="AU711" s="109"/>
    </row>
    <row r="712" spans="1:47" ht="14.25" customHeight="1" x14ac:dyDescent="0.3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  <c r="AL712" s="109"/>
      <c r="AM712" s="109"/>
      <c r="AN712" s="109"/>
      <c r="AO712" s="109"/>
      <c r="AP712" s="109"/>
      <c r="AQ712" s="109"/>
      <c r="AR712" s="109"/>
      <c r="AS712" s="109"/>
      <c r="AT712" s="109"/>
      <c r="AU712" s="109"/>
    </row>
    <row r="713" spans="1:47" ht="14.25" customHeight="1" x14ac:dyDescent="0.3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  <c r="AL713" s="109"/>
      <c r="AM713" s="109"/>
      <c r="AN713" s="109"/>
      <c r="AO713" s="109"/>
      <c r="AP713" s="109"/>
      <c r="AQ713" s="109"/>
      <c r="AR713" s="109"/>
      <c r="AS713" s="109"/>
      <c r="AT713" s="109"/>
      <c r="AU713" s="109"/>
    </row>
    <row r="714" spans="1:47" ht="14.25" customHeight="1" x14ac:dyDescent="0.3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  <c r="AL714" s="109"/>
      <c r="AM714" s="109"/>
      <c r="AN714" s="109"/>
      <c r="AO714" s="109"/>
      <c r="AP714" s="109"/>
      <c r="AQ714" s="109"/>
      <c r="AR714" s="109"/>
      <c r="AS714" s="109"/>
      <c r="AT714" s="109"/>
      <c r="AU714" s="109"/>
    </row>
    <row r="715" spans="1:47" ht="14.25" customHeight="1" x14ac:dyDescent="0.3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  <c r="AL715" s="109"/>
      <c r="AM715" s="109"/>
      <c r="AN715" s="109"/>
      <c r="AO715" s="109"/>
      <c r="AP715" s="109"/>
      <c r="AQ715" s="109"/>
      <c r="AR715" s="109"/>
      <c r="AS715" s="109"/>
      <c r="AT715" s="109"/>
      <c r="AU715" s="109"/>
    </row>
    <row r="716" spans="1:47" ht="14.25" customHeight="1" x14ac:dyDescent="0.3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  <c r="AL716" s="109"/>
      <c r="AM716" s="109"/>
      <c r="AN716" s="109"/>
      <c r="AO716" s="109"/>
      <c r="AP716" s="109"/>
      <c r="AQ716" s="109"/>
      <c r="AR716" s="109"/>
      <c r="AS716" s="109"/>
      <c r="AT716" s="109"/>
      <c r="AU716" s="109"/>
    </row>
    <row r="717" spans="1:47" ht="14.25" customHeight="1" x14ac:dyDescent="0.3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  <c r="AL717" s="109"/>
      <c r="AM717" s="109"/>
      <c r="AN717" s="109"/>
      <c r="AO717" s="109"/>
      <c r="AP717" s="109"/>
      <c r="AQ717" s="109"/>
      <c r="AR717" s="109"/>
      <c r="AS717" s="109"/>
      <c r="AT717" s="109"/>
      <c r="AU717" s="109"/>
    </row>
    <row r="718" spans="1:47" ht="14.25" customHeight="1" x14ac:dyDescent="0.3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  <c r="AD718" s="109"/>
      <c r="AE718" s="109"/>
      <c r="AF718" s="109"/>
      <c r="AG718" s="109"/>
      <c r="AH718" s="109"/>
      <c r="AI718" s="109"/>
      <c r="AJ718" s="109"/>
      <c r="AK718" s="109"/>
      <c r="AL718" s="109"/>
      <c r="AM718" s="109"/>
      <c r="AN718" s="109"/>
      <c r="AO718" s="109"/>
      <c r="AP718" s="109"/>
      <c r="AQ718" s="109"/>
      <c r="AR718" s="109"/>
      <c r="AS718" s="109"/>
      <c r="AT718" s="109"/>
      <c r="AU718" s="109"/>
    </row>
    <row r="719" spans="1:47" ht="14.25" customHeight="1" x14ac:dyDescent="0.3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09"/>
      <c r="AM719" s="109"/>
      <c r="AN719" s="109"/>
      <c r="AO719" s="109"/>
      <c r="AP719" s="109"/>
      <c r="AQ719" s="109"/>
      <c r="AR719" s="109"/>
      <c r="AS719" s="109"/>
      <c r="AT719" s="109"/>
      <c r="AU719" s="109"/>
    </row>
    <row r="720" spans="1:47" ht="14.25" customHeight="1" x14ac:dyDescent="0.3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  <c r="AD720" s="109"/>
      <c r="AE720" s="109"/>
      <c r="AF720" s="109"/>
      <c r="AG720" s="109"/>
      <c r="AH720" s="109"/>
      <c r="AI720" s="109"/>
      <c r="AJ720" s="109"/>
      <c r="AK720" s="109"/>
      <c r="AL720" s="109"/>
      <c r="AM720" s="109"/>
      <c r="AN720" s="109"/>
      <c r="AO720" s="109"/>
      <c r="AP720" s="109"/>
      <c r="AQ720" s="109"/>
      <c r="AR720" s="109"/>
      <c r="AS720" s="109"/>
      <c r="AT720" s="109"/>
      <c r="AU720" s="109"/>
    </row>
    <row r="721" spans="1:47" ht="14.25" customHeight="1" x14ac:dyDescent="0.3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  <c r="AD721" s="109"/>
      <c r="AE721" s="109"/>
      <c r="AF721" s="109"/>
      <c r="AG721" s="109"/>
      <c r="AH721" s="109"/>
      <c r="AI721" s="109"/>
      <c r="AJ721" s="109"/>
      <c r="AK721" s="109"/>
      <c r="AL721" s="109"/>
      <c r="AM721" s="109"/>
      <c r="AN721" s="109"/>
      <c r="AO721" s="109"/>
      <c r="AP721" s="109"/>
      <c r="AQ721" s="109"/>
      <c r="AR721" s="109"/>
      <c r="AS721" s="109"/>
      <c r="AT721" s="109"/>
      <c r="AU721" s="109"/>
    </row>
    <row r="722" spans="1:47" ht="14.25" customHeight="1" x14ac:dyDescent="0.3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  <c r="AL722" s="109"/>
      <c r="AM722" s="109"/>
      <c r="AN722" s="109"/>
      <c r="AO722" s="109"/>
      <c r="AP722" s="109"/>
      <c r="AQ722" s="109"/>
      <c r="AR722" s="109"/>
      <c r="AS722" s="109"/>
      <c r="AT722" s="109"/>
      <c r="AU722" s="109"/>
    </row>
    <row r="723" spans="1:47" ht="14.25" customHeight="1" x14ac:dyDescent="0.3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  <c r="AL723" s="109"/>
      <c r="AM723" s="109"/>
      <c r="AN723" s="109"/>
      <c r="AO723" s="109"/>
      <c r="AP723" s="109"/>
      <c r="AQ723" s="109"/>
      <c r="AR723" s="109"/>
      <c r="AS723" s="109"/>
      <c r="AT723" s="109"/>
      <c r="AU723" s="109"/>
    </row>
    <row r="724" spans="1:47" ht="14.25" customHeight="1" x14ac:dyDescent="0.3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  <c r="AL724" s="109"/>
      <c r="AM724" s="109"/>
      <c r="AN724" s="109"/>
      <c r="AO724" s="109"/>
      <c r="AP724" s="109"/>
      <c r="AQ724" s="109"/>
      <c r="AR724" s="109"/>
      <c r="AS724" s="109"/>
      <c r="AT724" s="109"/>
      <c r="AU724" s="109"/>
    </row>
    <row r="725" spans="1:47" ht="14.25" customHeight="1" x14ac:dyDescent="0.3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  <c r="AL725" s="109"/>
      <c r="AM725" s="109"/>
      <c r="AN725" s="109"/>
      <c r="AO725" s="109"/>
      <c r="AP725" s="109"/>
      <c r="AQ725" s="109"/>
      <c r="AR725" s="109"/>
      <c r="AS725" s="109"/>
      <c r="AT725" s="109"/>
      <c r="AU725" s="109"/>
    </row>
    <row r="726" spans="1:47" ht="14.25" customHeight="1" x14ac:dyDescent="0.3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  <c r="AL726" s="109"/>
      <c r="AM726" s="109"/>
      <c r="AN726" s="109"/>
      <c r="AO726" s="109"/>
      <c r="AP726" s="109"/>
      <c r="AQ726" s="109"/>
      <c r="AR726" s="109"/>
      <c r="AS726" s="109"/>
      <c r="AT726" s="109"/>
      <c r="AU726" s="109"/>
    </row>
    <row r="727" spans="1:47" ht="14.25" customHeight="1" x14ac:dyDescent="0.3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  <c r="AD727" s="109"/>
      <c r="AE727" s="109"/>
      <c r="AF727" s="109"/>
      <c r="AG727" s="109"/>
      <c r="AH727" s="109"/>
      <c r="AI727" s="109"/>
      <c r="AJ727" s="109"/>
      <c r="AK727" s="109"/>
      <c r="AL727" s="109"/>
      <c r="AM727" s="109"/>
      <c r="AN727" s="109"/>
      <c r="AO727" s="109"/>
      <c r="AP727" s="109"/>
      <c r="AQ727" s="109"/>
      <c r="AR727" s="109"/>
      <c r="AS727" s="109"/>
      <c r="AT727" s="109"/>
      <c r="AU727" s="109"/>
    </row>
    <row r="728" spans="1:47" ht="14.25" customHeight="1" x14ac:dyDescent="0.3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  <c r="AL728" s="109"/>
      <c r="AM728" s="109"/>
      <c r="AN728" s="109"/>
      <c r="AO728" s="109"/>
      <c r="AP728" s="109"/>
      <c r="AQ728" s="109"/>
      <c r="AR728" s="109"/>
      <c r="AS728" s="109"/>
      <c r="AT728" s="109"/>
      <c r="AU728" s="109"/>
    </row>
    <row r="729" spans="1:47" ht="14.25" customHeight="1" x14ac:dyDescent="0.3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  <c r="AL729" s="109"/>
      <c r="AM729" s="109"/>
      <c r="AN729" s="109"/>
      <c r="AO729" s="109"/>
      <c r="AP729" s="109"/>
      <c r="AQ729" s="109"/>
      <c r="AR729" s="109"/>
      <c r="AS729" s="109"/>
      <c r="AT729" s="109"/>
      <c r="AU729" s="109"/>
    </row>
    <row r="730" spans="1:47" ht="14.25" customHeight="1" x14ac:dyDescent="0.3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  <c r="AD730" s="109"/>
      <c r="AE730" s="109"/>
      <c r="AF730" s="109"/>
      <c r="AG730" s="109"/>
      <c r="AH730" s="109"/>
      <c r="AI730" s="109"/>
      <c r="AJ730" s="109"/>
      <c r="AK730" s="109"/>
      <c r="AL730" s="109"/>
      <c r="AM730" s="109"/>
      <c r="AN730" s="109"/>
      <c r="AO730" s="109"/>
      <c r="AP730" s="109"/>
      <c r="AQ730" s="109"/>
      <c r="AR730" s="109"/>
      <c r="AS730" s="109"/>
      <c r="AT730" s="109"/>
      <c r="AU730" s="109"/>
    </row>
    <row r="731" spans="1:47" ht="14.25" customHeight="1" x14ac:dyDescent="0.3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  <c r="AL731" s="109"/>
      <c r="AM731" s="109"/>
      <c r="AN731" s="109"/>
      <c r="AO731" s="109"/>
      <c r="AP731" s="109"/>
      <c r="AQ731" s="109"/>
      <c r="AR731" s="109"/>
      <c r="AS731" s="109"/>
      <c r="AT731" s="109"/>
      <c r="AU731" s="109"/>
    </row>
    <row r="732" spans="1:47" ht="14.25" customHeight="1" x14ac:dyDescent="0.3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  <c r="AD732" s="109"/>
      <c r="AE732" s="109"/>
      <c r="AF732" s="109"/>
      <c r="AG732" s="109"/>
      <c r="AH732" s="109"/>
      <c r="AI732" s="109"/>
      <c r="AJ732" s="109"/>
      <c r="AK732" s="109"/>
      <c r="AL732" s="109"/>
      <c r="AM732" s="109"/>
      <c r="AN732" s="109"/>
      <c r="AO732" s="109"/>
      <c r="AP732" s="109"/>
      <c r="AQ732" s="109"/>
      <c r="AR732" s="109"/>
      <c r="AS732" s="109"/>
      <c r="AT732" s="109"/>
      <c r="AU732" s="109"/>
    </row>
    <row r="733" spans="1:47" ht="14.25" customHeight="1" x14ac:dyDescent="0.3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  <c r="AL733" s="109"/>
      <c r="AM733" s="109"/>
      <c r="AN733" s="109"/>
      <c r="AO733" s="109"/>
      <c r="AP733" s="109"/>
      <c r="AQ733" s="109"/>
      <c r="AR733" s="109"/>
      <c r="AS733" s="109"/>
      <c r="AT733" s="109"/>
      <c r="AU733" s="109"/>
    </row>
    <row r="734" spans="1:47" ht="14.25" customHeight="1" x14ac:dyDescent="0.3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  <c r="AL734" s="109"/>
      <c r="AM734" s="109"/>
      <c r="AN734" s="109"/>
      <c r="AO734" s="109"/>
      <c r="AP734" s="109"/>
      <c r="AQ734" s="109"/>
      <c r="AR734" s="109"/>
      <c r="AS734" s="109"/>
      <c r="AT734" s="109"/>
      <c r="AU734" s="109"/>
    </row>
    <row r="735" spans="1:47" ht="14.25" customHeight="1" x14ac:dyDescent="0.3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  <c r="AD735" s="109"/>
      <c r="AE735" s="109"/>
      <c r="AF735" s="109"/>
      <c r="AG735" s="109"/>
      <c r="AH735" s="109"/>
      <c r="AI735" s="109"/>
      <c r="AJ735" s="109"/>
      <c r="AK735" s="109"/>
      <c r="AL735" s="109"/>
      <c r="AM735" s="109"/>
      <c r="AN735" s="109"/>
      <c r="AO735" s="109"/>
      <c r="AP735" s="109"/>
      <c r="AQ735" s="109"/>
      <c r="AR735" s="109"/>
      <c r="AS735" s="109"/>
      <c r="AT735" s="109"/>
      <c r="AU735" s="109"/>
    </row>
    <row r="736" spans="1:47" ht="14.25" customHeight="1" x14ac:dyDescent="0.3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  <c r="AL736" s="109"/>
      <c r="AM736" s="109"/>
      <c r="AN736" s="109"/>
      <c r="AO736" s="109"/>
      <c r="AP736" s="109"/>
      <c r="AQ736" s="109"/>
      <c r="AR736" s="109"/>
      <c r="AS736" s="109"/>
      <c r="AT736" s="109"/>
      <c r="AU736" s="109"/>
    </row>
    <row r="737" spans="1:47" ht="14.25" customHeight="1" x14ac:dyDescent="0.3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  <c r="AL737" s="109"/>
      <c r="AM737" s="109"/>
      <c r="AN737" s="109"/>
      <c r="AO737" s="109"/>
      <c r="AP737" s="109"/>
      <c r="AQ737" s="109"/>
      <c r="AR737" s="109"/>
      <c r="AS737" s="109"/>
      <c r="AT737" s="109"/>
      <c r="AU737" s="109"/>
    </row>
    <row r="738" spans="1:47" ht="14.25" customHeight="1" x14ac:dyDescent="0.3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  <c r="AL738" s="109"/>
      <c r="AM738" s="109"/>
      <c r="AN738" s="109"/>
      <c r="AO738" s="109"/>
      <c r="AP738" s="109"/>
      <c r="AQ738" s="109"/>
      <c r="AR738" s="109"/>
      <c r="AS738" s="109"/>
      <c r="AT738" s="109"/>
      <c r="AU738" s="109"/>
    </row>
    <row r="739" spans="1:47" ht="14.25" customHeight="1" x14ac:dyDescent="0.3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  <c r="AL739" s="109"/>
      <c r="AM739" s="109"/>
      <c r="AN739" s="109"/>
      <c r="AO739" s="109"/>
      <c r="AP739" s="109"/>
      <c r="AQ739" s="109"/>
      <c r="AR739" s="109"/>
      <c r="AS739" s="109"/>
      <c r="AT739" s="109"/>
      <c r="AU739" s="109"/>
    </row>
    <row r="740" spans="1:47" ht="14.25" customHeight="1" x14ac:dyDescent="0.3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  <c r="AL740" s="109"/>
      <c r="AM740" s="109"/>
      <c r="AN740" s="109"/>
      <c r="AO740" s="109"/>
      <c r="AP740" s="109"/>
      <c r="AQ740" s="109"/>
      <c r="AR740" s="109"/>
      <c r="AS740" s="109"/>
      <c r="AT740" s="109"/>
      <c r="AU740" s="109"/>
    </row>
    <row r="741" spans="1:47" ht="14.25" customHeight="1" x14ac:dyDescent="0.3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  <c r="AL741" s="109"/>
      <c r="AM741" s="109"/>
      <c r="AN741" s="109"/>
      <c r="AO741" s="109"/>
      <c r="AP741" s="109"/>
      <c r="AQ741" s="109"/>
      <c r="AR741" s="109"/>
      <c r="AS741" s="109"/>
      <c r="AT741" s="109"/>
      <c r="AU741" s="109"/>
    </row>
    <row r="742" spans="1:47" ht="14.25" customHeight="1" x14ac:dyDescent="0.3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  <c r="AL742" s="109"/>
      <c r="AM742" s="109"/>
      <c r="AN742" s="109"/>
      <c r="AO742" s="109"/>
      <c r="AP742" s="109"/>
      <c r="AQ742" s="109"/>
      <c r="AR742" s="109"/>
      <c r="AS742" s="109"/>
      <c r="AT742" s="109"/>
      <c r="AU742" s="109"/>
    </row>
    <row r="743" spans="1:47" ht="14.25" customHeight="1" x14ac:dyDescent="0.3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  <c r="AD743" s="109"/>
      <c r="AE743" s="109"/>
      <c r="AF743" s="109"/>
      <c r="AG743" s="109"/>
      <c r="AH743" s="109"/>
      <c r="AI743" s="109"/>
      <c r="AJ743" s="109"/>
      <c r="AK743" s="109"/>
      <c r="AL743" s="109"/>
      <c r="AM743" s="109"/>
      <c r="AN743" s="109"/>
      <c r="AO743" s="109"/>
      <c r="AP743" s="109"/>
      <c r="AQ743" s="109"/>
      <c r="AR743" s="109"/>
      <c r="AS743" s="109"/>
      <c r="AT743" s="109"/>
      <c r="AU743" s="109"/>
    </row>
    <row r="744" spans="1:47" ht="14.25" customHeight="1" x14ac:dyDescent="0.3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  <c r="AD744" s="109"/>
      <c r="AE744" s="109"/>
      <c r="AF744" s="109"/>
      <c r="AG744" s="109"/>
      <c r="AH744" s="109"/>
      <c r="AI744" s="109"/>
      <c r="AJ744" s="109"/>
      <c r="AK744" s="109"/>
      <c r="AL744" s="109"/>
      <c r="AM744" s="109"/>
      <c r="AN744" s="109"/>
      <c r="AO744" s="109"/>
      <c r="AP744" s="109"/>
      <c r="AQ744" s="109"/>
      <c r="AR744" s="109"/>
      <c r="AS744" s="109"/>
      <c r="AT744" s="109"/>
      <c r="AU744" s="109"/>
    </row>
    <row r="745" spans="1:47" ht="14.25" customHeight="1" x14ac:dyDescent="0.3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  <c r="AD745" s="109"/>
      <c r="AE745" s="109"/>
      <c r="AF745" s="109"/>
      <c r="AG745" s="109"/>
      <c r="AH745" s="109"/>
      <c r="AI745" s="109"/>
      <c r="AJ745" s="109"/>
      <c r="AK745" s="109"/>
      <c r="AL745" s="109"/>
      <c r="AM745" s="109"/>
      <c r="AN745" s="109"/>
      <c r="AO745" s="109"/>
      <c r="AP745" s="109"/>
      <c r="AQ745" s="109"/>
      <c r="AR745" s="109"/>
      <c r="AS745" s="109"/>
      <c r="AT745" s="109"/>
      <c r="AU745" s="109"/>
    </row>
    <row r="746" spans="1:47" ht="14.25" customHeight="1" x14ac:dyDescent="0.3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  <c r="AD746" s="109"/>
      <c r="AE746" s="109"/>
      <c r="AF746" s="109"/>
      <c r="AG746" s="109"/>
      <c r="AH746" s="109"/>
      <c r="AI746" s="109"/>
      <c r="AJ746" s="109"/>
      <c r="AK746" s="109"/>
      <c r="AL746" s="109"/>
      <c r="AM746" s="109"/>
      <c r="AN746" s="109"/>
      <c r="AO746" s="109"/>
      <c r="AP746" s="109"/>
      <c r="AQ746" s="109"/>
      <c r="AR746" s="109"/>
      <c r="AS746" s="109"/>
      <c r="AT746" s="109"/>
      <c r="AU746" s="109"/>
    </row>
    <row r="747" spans="1:47" ht="14.25" customHeight="1" x14ac:dyDescent="0.3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  <c r="AL747" s="109"/>
      <c r="AM747" s="109"/>
      <c r="AN747" s="109"/>
      <c r="AO747" s="109"/>
      <c r="AP747" s="109"/>
      <c r="AQ747" s="109"/>
      <c r="AR747" s="109"/>
      <c r="AS747" s="109"/>
      <c r="AT747" s="109"/>
      <c r="AU747" s="109"/>
    </row>
    <row r="748" spans="1:47" ht="14.25" customHeight="1" x14ac:dyDescent="0.3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  <c r="AD748" s="109"/>
      <c r="AE748" s="109"/>
      <c r="AF748" s="109"/>
      <c r="AG748" s="109"/>
      <c r="AH748" s="109"/>
      <c r="AI748" s="109"/>
      <c r="AJ748" s="109"/>
      <c r="AK748" s="109"/>
      <c r="AL748" s="109"/>
      <c r="AM748" s="109"/>
      <c r="AN748" s="109"/>
      <c r="AO748" s="109"/>
      <c r="AP748" s="109"/>
      <c r="AQ748" s="109"/>
      <c r="AR748" s="109"/>
      <c r="AS748" s="109"/>
      <c r="AT748" s="109"/>
      <c r="AU748" s="109"/>
    </row>
    <row r="749" spans="1:47" ht="14.25" customHeight="1" x14ac:dyDescent="0.3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  <c r="AD749" s="109"/>
      <c r="AE749" s="109"/>
      <c r="AF749" s="109"/>
      <c r="AG749" s="109"/>
      <c r="AH749" s="109"/>
      <c r="AI749" s="109"/>
      <c r="AJ749" s="109"/>
      <c r="AK749" s="109"/>
      <c r="AL749" s="109"/>
      <c r="AM749" s="109"/>
      <c r="AN749" s="109"/>
      <c r="AO749" s="109"/>
      <c r="AP749" s="109"/>
      <c r="AQ749" s="109"/>
      <c r="AR749" s="109"/>
      <c r="AS749" s="109"/>
      <c r="AT749" s="109"/>
      <c r="AU749" s="109"/>
    </row>
    <row r="750" spans="1:47" ht="14.25" customHeight="1" x14ac:dyDescent="0.3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  <c r="AD750" s="109"/>
      <c r="AE750" s="109"/>
      <c r="AF750" s="109"/>
      <c r="AG750" s="109"/>
      <c r="AH750" s="109"/>
      <c r="AI750" s="109"/>
      <c r="AJ750" s="109"/>
      <c r="AK750" s="109"/>
      <c r="AL750" s="109"/>
      <c r="AM750" s="109"/>
      <c r="AN750" s="109"/>
      <c r="AO750" s="109"/>
      <c r="AP750" s="109"/>
      <c r="AQ750" s="109"/>
      <c r="AR750" s="109"/>
      <c r="AS750" s="109"/>
      <c r="AT750" s="109"/>
      <c r="AU750" s="109"/>
    </row>
    <row r="751" spans="1:47" ht="14.25" customHeight="1" x14ac:dyDescent="0.3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  <c r="AD751" s="109"/>
      <c r="AE751" s="109"/>
      <c r="AF751" s="109"/>
      <c r="AG751" s="109"/>
      <c r="AH751" s="109"/>
      <c r="AI751" s="109"/>
      <c r="AJ751" s="109"/>
      <c r="AK751" s="109"/>
      <c r="AL751" s="109"/>
      <c r="AM751" s="109"/>
      <c r="AN751" s="109"/>
      <c r="AO751" s="109"/>
      <c r="AP751" s="109"/>
      <c r="AQ751" s="109"/>
      <c r="AR751" s="109"/>
      <c r="AS751" s="109"/>
      <c r="AT751" s="109"/>
      <c r="AU751" s="109"/>
    </row>
    <row r="752" spans="1:47" ht="14.25" customHeight="1" x14ac:dyDescent="0.3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09"/>
      <c r="AJ752" s="109"/>
      <c r="AK752" s="109"/>
      <c r="AL752" s="109"/>
      <c r="AM752" s="109"/>
      <c r="AN752" s="109"/>
      <c r="AO752" s="109"/>
      <c r="AP752" s="109"/>
      <c r="AQ752" s="109"/>
      <c r="AR752" s="109"/>
      <c r="AS752" s="109"/>
      <c r="AT752" s="109"/>
      <c r="AU752" s="109"/>
    </row>
    <row r="753" spans="1:47" ht="14.25" customHeight="1" x14ac:dyDescent="0.3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  <c r="AL753" s="109"/>
      <c r="AM753" s="109"/>
      <c r="AN753" s="109"/>
      <c r="AO753" s="109"/>
      <c r="AP753" s="109"/>
      <c r="AQ753" s="109"/>
      <c r="AR753" s="109"/>
      <c r="AS753" s="109"/>
      <c r="AT753" s="109"/>
      <c r="AU753" s="109"/>
    </row>
    <row r="754" spans="1:47" ht="14.25" customHeight="1" x14ac:dyDescent="0.3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  <c r="AD754" s="109"/>
      <c r="AE754" s="109"/>
      <c r="AF754" s="109"/>
      <c r="AG754" s="109"/>
      <c r="AH754" s="109"/>
      <c r="AI754" s="109"/>
      <c r="AJ754" s="109"/>
      <c r="AK754" s="109"/>
      <c r="AL754" s="109"/>
      <c r="AM754" s="109"/>
      <c r="AN754" s="109"/>
      <c r="AO754" s="109"/>
      <c r="AP754" s="109"/>
      <c r="AQ754" s="109"/>
      <c r="AR754" s="109"/>
      <c r="AS754" s="109"/>
      <c r="AT754" s="109"/>
      <c r="AU754" s="109"/>
    </row>
    <row r="755" spans="1:47" ht="14.25" customHeight="1" x14ac:dyDescent="0.3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  <c r="AL755" s="109"/>
      <c r="AM755" s="109"/>
      <c r="AN755" s="109"/>
      <c r="AO755" s="109"/>
      <c r="AP755" s="109"/>
      <c r="AQ755" s="109"/>
      <c r="AR755" s="109"/>
      <c r="AS755" s="109"/>
      <c r="AT755" s="109"/>
      <c r="AU755" s="109"/>
    </row>
    <row r="756" spans="1:47" ht="14.25" customHeight="1" x14ac:dyDescent="0.3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  <c r="AL756" s="109"/>
      <c r="AM756" s="109"/>
      <c r="AN756" s="109"/>
      <c r="AO756" s="109"/>
      <c r="AP756" s="109"/>
      <c r="AQ756" s="109"/>
      <c r="AR756" s="109"/>
      <c r="AS756" s="109"/>
      <c r="AT756" s="109"/>
      <c r="AU756" s="109"/>
    </row>
    <row r="757" spans="1:47" ht="14.25" customHeight="1" x14ac:dyDescent="0.3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09"/>
      <c r="AL757" s="109"/>
      <c r="AM757" s="109"/>
      <c r="AN757" s="109"/>
      <c r="AO757" s="109"/>
      <c r="AP757" s="109"/>
      <c r="AQ757" s="109"/>
      <c r="AR757" s="109"/>
      <c r="AS757" s="109"/>
      <c r="AT757" s="109"/>
      <c r="AU757" s="109"/>
    </row>
    <row r="758" spans="1:47" ht="14.25" customHeight="1" x14ac:dyDescent="0.3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  <c r="AD758" s="109"/>
      <c r="AE758" s="109"/>
      <c r="AF758" s="109"/>
      <c r="AG758" s="109"/>
      <c r="AH758" s="109"/>
      <c r="AI758" s="109"/>
      <c r="AJ758" s="109"/>
      <c r="AK758" s="109"/>
      <c r="AL758" s="109"/>
      <c r="AM758" s="109"/>
      <c r="AN758" s="109"/>
      <c r="AO758" s="109"/>
      <c r="AP758" s="109"/>
      <c r="AQ758" s="109"/>
      <c r="AR758" s="109"/>
      <c r="AS758" s="109"/>
      <c r="AT758" s="109"/>
      <c r="AU758" s="109"/>
    </row>
    <row r="759" spans="1:47" ht="14.25" customHeight="1" x14ac:dyDescent="0.3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  <c r="AD759" s="109"/>
      <c r="AE759" s="109"/>
      <c r="AF759" s="109"/>
      <c r="AG759" s="109"/>
      <c r="AH759" s="109"/>
      <c r="AI759" s="109"/>
      <c r="AJ759" s="109"/>
      <c r="AK759" s="109"/>
      <c r="AL759" s="109"/>
      <c r="AM759" s="109"/>
      <c r="AN759" s="109"/>
      <c r="AO759" s="109"/>
      <c r="AP759" s="109"/>
      <c r="AQ759" s="109"/>
      <c r="AR759" s="109"/>
      <c r="AS759" s="109"/>
      <c r="AT759" s="109"/>
      <c r="AU759" s="109"/>
    </row>
    <row r="760" spans="1:47" ht="14.25" customHeight="1" x14ac:dyDescent="0.3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  <c r="AD760" s="109"/>
      <c r="AE760" s="109"/>
      <c r="AF760" s="109"/>
      <c r="AG760" s="109"/>
      <c r="AH760" s="109"/>
      <c r="AI760" s="109"/>
      <c r="AJ760" s="109"/>
      <c r="AK760" s="109"/>
      <c r="AL760" s="109"/>
      <c r="AM760" s="109"/>
      <c r="AN760" s="109"/>
      <c r="AO760" s="109"/>
      <c r="AP760" s="109"/>
      <c r="AQ760" s="109"/>
      <c r="AR760" s="109"/>
      <c r="AS760" s="109"/>
      <c r="AT760" s="109"/>
      <c r="AU760" s="109"/>
    </row>
    <row r="761" spans="1:47" ht="14.25" customHeight="1" x14ac:dyDescent="0.3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  <c r="AD761" s="109"/>
      <c r="AE761" s="109"/>
      <c r="AF761" s="109"/>
      <c r="AG761" s="109"/>
      <c r="AH761" s="109"/>
      <c r="AI761" s="109"/>
      <c r="AJ761" s="109"/>
      <c r="AK761" s="109"/>
      <c r="AL761" s="109"/>
      <c r="AM761" s="109"/>
      <c r="AN761" s="109"/>
      <c r="AO761" s="109"/>
      <c r="AP761" s="109"/>
      <c r="AQ761" s="109"/>
      <c r="AR761" s="109"/>
      <c r="AS761" s="109"/>
      <c r="AT761" s="109"/>
      <c r="AU761" s="109"/>
    </row>
    <row r="762" spans="1:47" ht="14.25" customHeight="1" x14ac:dyDescent="0.3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  <c r="AD762" s="109"/>
      <c r="AE762" s="109"/>
      <c r="AF762" s="109"/>
      <c r="AG762" s="109"/>
      <c r="AH762" s="109"/>
      <c r="AI762" s="109"/>
      <c r="AJ762" s="109"/>
      <c r="AK762" s="109"/>
      <c r="AL762" s="109"/>
      <c r="AM762" s="109"/>
      <c r="AN762" s="109"/>
      <c r="AO762" s="109"/>
      <c r="AP762" s="109"/>
      <c r="AQ762" s="109"/>
      <c r="AR762" s="109"/>
      <c r="AS762" s="109"/>
      <c r="AT762" s="109"/>
      <c r="AU762" s="109"/>
    </row>
    <row r="763" spans="1:47" ht="14.25" customHeight="1" x14ac:dyDescent="0.3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  <c r="AL763" s="109"/>
      <c r="AM763" s="109"/>
      <c r="AN763" s="109"/>
      <c r="AO763" s="109"/>
      <c r="AP763" s="109"/>
      <c r="AQ763" s="109"/>
      <c r="AR763" s="109"/>
      <c r="AS763" s="109"/>
      <c r="AT763" s="109"/>
      <c r="AU763" s="109"/>
    </row>
    <row r="764" spans="1:47" ht="14.25" customHeight="1" x14ac:dyDescent="0.3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  <c r="AL764" s="109"/>
      <c r="AM764" s="109"/>
      <c r="AN764" s="109"/>
      <c r="AO764" s="109"/>
      <c r="AP764" s="109"/>
      <c r="AQ764" s="109"/>
      <c r="AR764" s="109"/>
      <c r="AS764" s="109"/>
      <c r="AT764" s="109"/>
      <c r="AU764" s="109"/>
    </row>
    <row r="765" spans="1:47" ht="14.25" customHeight="1" x14ac:dyDescent="0.3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  <c r="AD765" s="109"/>
      <c r="AE765" s="109"/>
      <c r="AF765" s="109"/>
      <c r="AG765" s="109"/>
      <c r="AH765" s="109"/>
      <c r="AI765" s="109"/>
      <c r="AJ765" s="109"/>
      <c r="AK765" s="109"/>
      <c r="AL765" s="109"/>
      <c r="AM765" s="109"/>
      <c r="AN765" s="109"/>
      <c r="AO765" s="109"/>
      <c r="AP765" s="109"/>
      <c r="AQ765" s="109"/>
      <c r="AR765" s="109"/>
      <c r="AS765" s="109"/>
      <c r="AT765" s="109"/>
      <c r="AU765" s="109"/>
    </row>
    <row r="766" spans="1:47" ht="14.25" customHeight="1" x14ac:dyDescent="0.3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  <c r="AD766" s="109"/>
      <c r="AE766" s="109"/>
      <c r="AF766" s="109"/>
      <c r="AG766" s="109"/>
      <c r="AH766" s="109"/>
      <c r="AI766" s="109"/>
      <c r="AJ766" s="109"/>
      <c r="AK766" s="109"/>
      <c r="AL766" s="109"/>
      <c r="AM766" s="109"/>
      <c r="AN766" s="109"/>
      <c r="AO766" s="109"/>
      <c r="AP766" s="109"/>
      <c r="AQ766" s="109"/>
      <c r="AR766" s="109"/>
      <c r="AS766" s="109"/>
      <c r="AT766" s="109"/>
      <c r="AU766" s="109"/>
    </row>
    <row r="767" spans="1:47" ht="14.25" customHeight="1" x14ac:dyDescent="0.3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  <c r="AD767" s="109"/>
      <c r="AE767" s="109"/>
      <c r="AF767" s="109"/>
      <c r="AG767" s="109"/>
      <c r="AH767" s="109"/>
      <c r="AI767" s="109"/>
      <c r="AJ767" s="109"/>
      <c r="AK767" s="109"/>
      <c r="AL767" s="109"/>
      <c r="AM767" s="109"/>
      <c r="AN767" s="109"/>
      <c r="AO767" s="109"/>
      <c r="AP767" s="109"/>
      <c r="AQ767" s="109"/>
      <c r="AR767" s="109"/>
      <c r="AS767" s="109"/>
      <c r="AT767" s="109"/>
      <c r="AU767" s="109"/>
    </row>
    <row r="768" spans="1:47" ht="14.25" customHeight="1" x14ac:dyDescent="0.3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  <c r="AD768" s="109"/>
      <c r="AE768" s="109"/>
      <c r="AF768" s="109"/>
      <c r="AG768" s="109"/>
      <c r="AH768" s="109"/>
      <c r="AI768" s="109"/>
      <c r="AJ768" s="109"/>
      <c r="AK768" s="109"/>
      <c r="AL768" s="109"/>
      <c r="AM768" s="109"/>
      <c r="AN768" s="109"/>
      <c r="AO768" s="109"/>
      <c r="AP768" s="109"/>
      <c r="AQ768" s="109"/>
      <c r="AR768" s="109"/>
      <c r="AS768" s="109"/>
      <c r="AT768" s="109"/>
      <c r="AU768" s="109"/>
    </row>
    <row r="769" spans="1:47" ht="14.25" customHeight="1" x14ac:dyDescent="0.3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  <c r="AD769" s="109"/>
      <c r="AE769" s="109"/>
      <c r="AF769" s="109"/>
      <c r="AG769" s="109"/>
      <c r="AH769" s="109"/>
      <c r="AI769" s="109"/>
      <c r="AJ769" s="109"/>
      <c r="AK769" s="109"/>
      <c r="AL769" s="109"/>
      <c r="AM769" s="109"/>
      <c r="AN769" s="109"/>
      <c r="AO769" s="109"/>
      <c r="AP769" s="109"/>
      <c r="AQ769" s="109"/>
      <c r="AR769" s="109"/>
      <c r="AS769" s="109"/>
      <c r="AT769" s="109"/>
      <c r="AU769" s="109"/>
    </row>
    <row r="770" spans="1:47" ht="14.25" customHeight="1" x14ac:dyDescent="0.3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  <c r="AD770" s="109"/>
      <c r="AE770" s="109"/>
      <c r="AF770" s="109"/>
      <c r="AG770" s="109"/>
      <c r="AH770" s="109"/>
      <c r="AI770" s="109"/>
      <c r="AJ770" s="109"/>
      <c r="AK770" s="109"/>
      <c r="AL770" s="109"/>
      <c r="AM770" s="109"/>
      <c r="AN770" s="109"/>
      <c r="AO770" s="109"/>
      <c r="AP770" s="109"/>
      <c r="AQ770" s="109"/>
      <c r="AR770" s="109"/>
      <c r="AS770" s="109"/>
      <c r="AT770" s="109"/>
      <c r="AU770" s="109"/>
    </row>
    <row r="771" spans="1:47" ht="14.25" customHeight="1" x14ac:dyDescent="0.3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  <c r="AD771" s="109"/>
      <c r="AE771" s="109"/>
      <c r="AF771" s="109"/>
      <c r="AG771" s="109"/>
      <c r="AH771" s="109"/>
      <c r="AI771" s="109"/>
      <c r="AJ771" s="109"/>
      <c r="AK771" s="109"/>
      <c r="AL771" s="109"/>
      <c r="AM771" s="109"/>
      <c r="AN771" s="109"/>
      <c r="AO771" s="109"/>
      <c r="AP771" s="109"/>
      <c r="AQ771" s="109"/>
      <c r="AR771" s="109"/>
      <c r="AS771" s="109"/>
      <c r="AT771" s="109"/>
      <c r="AU771" s="109"/>
    </row>
    <row r="772" spans="1:47" ht="14.25" customHeight="1" x14ac:dyDescent="0.3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  <c r="AD772" s="109"/>
      <c r="AE772" s="109"/>
      <c r="AF772" s="109"/>
      <c r="AG772" s="109"/>
      <c r="AH772" s="109"/>
      <c r="AI772" s="109"/>
      <c r="AJ772" s="109"/>
      <c r="AK772" s="109"/>
      <c r="AL772" s="109"/>
      <c r="AM772" s="109"/>
      <c r="AN772" s="109"/>
      <c r="AO772" s="109"/>
      <c r="AP772" s="109"/>
      <c r="AQ772" s="109"/>
      <c r="AR772" s="109"/>
      <c r="AS772" s="109"/>
      <c r="AT772" s="109"/>
      <c r="AU772" s="109"/>
    </row>
    <row r="773" spans="1:47" ht="14.25" customHeight="1" x14ac:dyDescent="0.3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  <c r="AD773" s="109"/>
      <c r="AE773" s="109"/>
      <c r="AF773" s="109"/>
      <c r="AG773" s="109"/>
      <c r="AH773" s="109"/>
      <c r="AI773" s="109"/>
      <c r="AJ773" s="109"/>
      <c r="AK773" s="109"/>
      <c r="AL773" s="109"/>
      <c r="AM773" s="109"/>
      <c r="AN773" s="109"/>
      <c r="AO773" s="109"/>
      <c r="AP773" s="109"/>
      <c r="AQ773" s="109"/>
      <c r="AR773" s="109"/>
      <c r="AS773" s="109"/>
      <c r="AT773" s="109"/>
      <c r="AU773" s="109"/>
    </row>
    <row r="774" spans="1:47" ht="14.25" customHeight="1" x14ac:dyDescent="0.3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09"/>
      <c r="AJ774" s="109"/>
      <c r="AK774" s="109"/>
      <c r="AL774" s="109"/>
      <c r="AM774" s="109"/>
      <c r="AN774" s="109"/>
      <c r="AO774" s="109"/>
      <c r="AP774" s="109"/>
      <c r="AQ774" s="109"/>
      <c r="AR774" s="109"/>
      <c r="AS774" s="109"/>
      <c r="AT774" s="109"/>
      <c r="AU774" s="109"/>
    </row>
    <row r="775" spans="1:47" ht="14.25" customHeight="1" x14ac:dyDescent="0.3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  <c r="AD775" s="109"/>
      <c r="AE775" s="109"/>
      <c r="AF775" s="109"/>
      <c r="AG775" s="109"/>
      <c r="AH775" s="109"/>
      <c r="AI775" s="109"/>
      <c r="AJ775" s="109"/>
      <c r="AK775" s="109"/>
      <c r="AL775" s="109"/>
      <c r="AM775" s="109"/>
      <c r="AN775" s="109"/>
      <c r="AO775" s="109"/>
      <c r="AP775" s="109"/>
      <c r="AQ775" s="109"/>
      <c r="AR775" s="109"/>
      <c r="AS775" s="109"/>
      <c r="AT775" s="109"/>
      <c r="AU775" s="109"/>
    </row>
    <row r="776" spans="1:47" ht="14.25" customHeight="1" x14ac:dyDescent="0.3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  <c r="AD776" s="109"/>
      <c r="AE776" s="109"/>
      <c r="AF776" s="109"/>
      <c r="AG776" s="109"/>
      <c r="AH776" s="109"/>
      <c r="AI776" s="109"/>
      <c r="AJ776" s="109"/>
      <c r="AK776" s="109"/>
      <c r="AL776" s="109"/>
      <c r="AM776" s="109"/>
      <c r="AN776" s="109"/>
      <c r="AO776" s="109"/>
      <c r="AP776" s="109"/>
      <c r="AQ776" s="109"/>
      <c r="AR776" s="109"/>
      <c r="AS776" s="109"/>
      <c r="AT776" s="109"/>
      <c r="AU776" s="109"/>
    </row>
    <row r="777" spans="1:47" ht="14.25" customHeight="1" x14ac:dyDescent="0.3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09"/>
      <c r="AI777" s="109"/>
      <c r="AJ777" s="109"/>
      <c r="AK777" s="109"/>
      <c r="AL777" s="109"/>
      <c r="AM777" s="109"/>
      <c r="AN777" s="109"/>
      <c r="AO777" s="109"/>
      <c r="AP777" s="109"/>
      <c r="AQ777" s="109"/>
      <c r="AR777" s="109"/>
      <c r="AS777" s="109"/>
      <c r="AT777" s="109"/>
      <c r="AU777" s="109"/>
    </row>
    <row r="778" spans="1:47" ht="14.25" customHeight="1" x14ac:dyDescent="0.3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  <c r="AL778" s="109"/>
      <c r="AM778" s="109"/>
      <c r="AN778" s="109"/>
      <c r="AO778" s="109"/>
      <c r="AP778" s="109"/>
      <c r="AQ778" s="109"/>
      <c r="AR778" s="109"/>
      <c r="AS778" s="109"/>
      <c r="AT778" s="109"/>
      <c r="AU778" s="109"/>
    </row>
    <row r="779" spans="1:47" ht="14.25" customHeight="1" x14ac:dyDescent="0.3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09"/>
      <c r="AI779" s="109"/>
      <c r="AJ779" s="109"/>
      <c r="AK779" s="109"/>
      <c r="AL779" s="109"/>
      <c r="AM779" s="109"/>
      <c r="AN779" s="109"/>
      <c r="AO779" s="109"/>
      <c r="AP779" s="109"/>
      <c r="AQ779" s="109"/>
      <c r="AR779" s="109"/>
      <c r="AS779" s="109"/>
      <c r="AT779" s="109"/>
      <c r="AU779" s="109"/>
    </row>
    <row r="780" spans="1:47" ht="14.25" customHeight="1" x14ac:dyDescent="0.3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09"/>
      <c r="AI780" s="109"/>
      <c r="AJ780" s="109"/>
      <c r="AK780" s="109"/>
      <c r="AL780" s="109"/>
      <c r="AM780" s="109"/>
      <c r="AN780" s="109"/>
      <c r="AO780" s="109"/>
      <c r="AP780" s="109"/>
      <c r="AQ780" s="109"/>
      <c r="AR780" s="109"/>
      <c r="AS780" s="109"/>
      <c r="AT780" s="109"/>
      <c r="AU780" s="109"/>
    </row>
    <row r="781" spans="1:47" ht="14.25" customHeight="1" x14ac:dyDescent="0.3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09"/>
      <c r="AI781" s="109"/>
      <c r="AJ781" s="109"/>
      <c r="AK781" s="109"/>
      <c r="AL781" s="109"/>
      <c r="AM781" s="109"/>
      <c r="AN781" s="109"/>
      <c r="AO781" s="109"/>
      <c r="AP781" s="109"/>
      <c r="AQ781" s="109"/>
      <c r="AR781" s="109"/>
      <c r="AS781" s="109"/>
      <c r="AT781" s="109"/>
      <c r="AU781" s="109"/>
    </row>
    <row r="782" spans="1:47" ht="14.25" customHeight="1" x14ac:dyDescent="0.3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09"/>
      <c r="AI782" s="109"/>
      <c r="AJ782" s="109"/>
      <c r="AK782" s="109"/>
      <c r="AL782" s="109"/>
      <c r="AM782" s="109"/>
      <c r="AN782" s="109"/>
      <c r="AO782" s="109"/>
      <c r="AP782" s="109"/>
      <c r="AQ782" s="109"/>
      <c r="AR782" s="109"/>
      <c r="AS782" s="109"/>
      <c r="AT782" s="109"/>
      <c r="AU782" s="109"/>
    </row>
    <row r="783" spans="1:47" ht="14.25" customHeight="1" x14ac:dyDescent="0.3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09"/>
      <c r="AI783" s="109"/>
      <c r="AJ783" s="109"/>
      <c r="AK783" s="109"/>
      <c r="AL783" s="109"/>
      <c r="AM783" s="109"/>
      <c r="AN783" s="109"/>
      <c r="AO783" s="109"/>
      <c r="AP783" s="109"/>
      <c r="AQ783" s="109"/>
      <c r="AR783" s="109"/>
      <c r="AS783" s="109"/>
      <c r="AT783" s="109"/>
      <c r="AU783" s="109"/>
    </row>
    <row r="784" spans="1:47" ht="14.25" customHeight="1" x14ac:dyDescent="0.3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  <c r="AL784" s="109"/>
      <c r="AM784" s="109"/>
      <c r="AN784" s="109"/>
      <c r="AO784" s="109"/>
      <c r="AP784" s="109"/>
      <c r="AQ784" s="109"/>
      <c r="AR784" s="109"/>
      <c r="AS784" s="109"/>
      <c r="AT784" s="109"/>
      <c r="AU784" s="109"/>
    </row>
    <row r="785" spans="1:47" ht="14.25" customHeight="1" x14ac:dyDescent="0.3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  <c r="AL785" s="109"/>
      <c r="AM785" s="109"/>
      <c r="AN785" s="109"/>
      <c r="AO785" s="109"/>
      <c r="AP785" s="109"/>
      <c r="AQ785" s="109"/>
      <c r="AR785" s="109"/>
      <c r="AS785" s="109"/>
      <c r="AT785" s="109"/>
      <c r="AU785" s="109"/>
    </row>
    <row r="786" spans="1:47" ht="14.25" customHeight="1" x14ac:dyDescent="0.3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  <c r="AL786" s="109"/>
      <c r="AM786" s="109"/>
      <c r="AN786" s="109"/>
      <c r="AO786" s="109"/>
      <c r="AP786" s="109"/>
      <c r="AQ786" s="109"/>
      <c r="AR786" s="109"/>
      <c r="AS786" s="109"/>
      <c r="AT786" s="109"/>
      <c r="AU786" s="109"/>
    </row>
    <row r="787" spans="1:47" ht="14.25" customHeight="1" x14ac:dyDescent="0.3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  <c r="AL787" s="109"/>
      <c r="AM787" s="109"/>
      <c r="AN787" s="109"/>
      <c r="AO787" s="109"/>
      <c r="AP787" s="109"/>
      <c r="AQ787" s="109"/>
      <c r="AR787" s="109"/>
      <c r="AS787" s="109"/>
      <c r="AT787" s="109"/>
      <c r="AU787" s="109"/>
    </row>
    <row r="788" spans="1:47" ht="14.25" customHeight="1" x14ac:dyDescent="0.3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  <c r="AL788" s="109"/>
      <c r="AM788" s="109"/>
      <c r="AN788" s="109"/>
      <c r="AO788" s="109"/>
      <c r="AP788" s="109"/>
      <c r="AQ788" s="109"/>
      <c r="AR788" s="109"/>
      <c r="AS788" s="109"/>
      <c r="AT788" s="109"/>
      <c r="AU788" s="109"/>
    </row>
    <row r="789" spans="1:47" ht="14.25" customHeight="1" x14ac:dyDescent="0.3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  <c r="AL789" s="109"/>
      <c r="AM789" s="109"/>
      <c r="AN789" s="109"/>
      <c r="AO789" s="109"/>
      <c r="AP789" s="109"/>
      <c r="AQ789" s="109"/>
      <c r="AR789" s="109"/>
      <c r="AS789" s="109"/>
      <c r="AT789" s="109"/>
      <c r="AU789" s="109"/>
    </row>
    <row r="790" spans="1:47" ht="14.25" customHeight="1" x14ac:dyDescent="0.3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  <c r="AL790" s="109"/>
      <c r="AM790" s="109"/>
      <c r="AN790" s="109"/>
      <c r="AO790" s="109"/>
      <c r="AP790" s="109"/>
      <c r="AQ790" s="109"/>
      <c r="AR790" s="109"/>
      <c r="AS790" s="109"/>
      <c r="AT790" s="109"/>
      <c r="AU790" s="109"/>
    </row>
    <row r="791" spans="1:47" ht="14.25" customHeight="1" x14ac:dyDescent="0.3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  <c r="AL791" s="109"/>
      <c r="AM791" s="109"/>
      <c r="AN791" s="109"/>
      <c r="AO791" s="109"/>
      <c r="AP791" s="109"/>
      <c r="AQ791" s="109"/>
      <c r="AR791" s="109"/>
      <c r="AS791" s="109"/>
      <c r="AT791" s="109"/>
      <c r="AU791" s="109"/>
    </row>
    <row r="792" spans="1:47" ht="14.25" customHeight="1" x14ac:dyDescent="0.3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  <c r="AL792" s="109"/>
      <c r="AM792" s="109"/>
      <c r="AN792" s="109"/>
      <c r="AO792" s="109"/>
      <c r="AP792" s="109"/>
      <c r="AQ792" s="109"/>
      <c r="AR792" s="109"/>
      <c r="AS792" s="109"/>
      <c r="AT792" s="109"/>
      <c r="AU792" s="109"/>
    </row>
    <row r="793" spans="1:47" ht="14.25" customHeight="1" x14ac:dyDescent="0.3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09"/>
      <c r="AI793" s="109"/>
      <c r="AJ793" s="109"/>
      <c r="AK793" s="109"/>
      <c r="AL793" s="109"/>
      <c r="AM793" s="109"/>
      <c r="AN793" s="109"/>
      <c r="AO793" s="109"/>
      <c r="AP793" s="109"/>
      <c r="AQ793" s="109"/>
      <c r="AR793" s="109"/>
      <c r="AS793" s="109"/>
      <c r="AT793" s="109"/>
      <c r="AU793" s="109"/>
    </row>
    <row r="794" spans="1:47" ht="14.25" customHeight="1" x14ac:dyDescent="0.3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09"/>
      <c r="AI794" s="109"/>
      <c r="AJ794" s="109"/>
      <c r="AK794" s="109"/>
      <c r="AL794" s="109"/>
      <c r="AM794" s="109"/>
      <c r="AN794" s="109"/>
      <c r="AO794" s="109"/>
      <c r="AP794" s="109"/>
      <c r="AQ794" s="109"/>
      <c r="AR794" s="109"/>
      <c r="AS794" s="109"/>
      <c r="AT794" s="109"/>
      <c r="AU794" s="109"/>
    </row>
    <row r="795" spans="1:47" ht="14.25" customHeight="1" x14ac:dyDescent="0.3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09"/>
      <c r="AI795" s="109"/>
      <c r="AJ795" s="109"/>
      <c r="AK795" s="109"/>
      <c r="AL795" s="109"/>
      <c r="AM795" s="109"/>
      <c r="AN795" s="109"/>
      <c r="AO795" s="109"/>
      <c r="AP795" s="109"/>
      <c r="AQ795" s="109"/>
      <c r="AR795" s="109"/>
      <c r="AS795" s="109"/>
      <c r="AT795" s="109"/>
      <c r="AU795" s="109"/>
    </row>
    <row r="796" spans="1:47" ht="14.25" customHeight="1" x14ac:dyDescent="0.3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09"/>
      <c r="AI796" s="109"/>
      <c r="AJ796" s="109"/>
      <c r="AK796" s="109"/>
      <c r="AL796" s="109"/>
      <c r="AM796" s="109"/>
      <c r="AN796" s="109"/>
      <c r="AO796" s="109"/>
      <c r="AP796" s="109"/>
      <c r="AQ796" s="109"/>
      <c r="AR796" s="109"/>
      <c r="AS796" s="109"/>
      <c r="AT796" s="109"/>
      <c r="AU796" s="109"/>
    </row>
    <row r="797" spans="1:47" ht="14.25" customHeight="1" x14ac:dyDescent="0.3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09"/>
      <c r="AH797" s="109"/>
      <c r="AI797" s="109"/>
      <c r="AJ797" s="109"/>
      <c r="AK797" s="109"/>
      <c r="AL797" s="109"/>
      <c r="AM797" s="109"/>
      <c r="AN797" s="109"/>
      <c r="AO797" s="109"/>
      <c r="AP797" s="109"/>
      <c r="AQ797" s="109"/>
      <c r="AR797" s="109"/>
      <c r="AS797" s="109"/>
      <c r="AT797" s="109"/>
      <c r="AU797" s="109"/>
    </row>
    <row r="798" spans="1:47" ht="14.25" customHeight="1" x14ac:dyDescent="0.3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09"/>
      <c r="AJ798" s="109"/>
      <c r="AK798" s="109"/>
      <c r="AL798" s="109"/>
      <c r="AM798" s="109"/>
      <c r="AN798" s="109"/>
      <c r="AO798" s="109"/>
      <c r="AP798" s="109"/>
      <c r="AQ798" s="109"/>
      <c r="AR798" s="109"/>
      <c r="AS798" s="109"/>
      <c r="AT798" s="109"/>
      <c r="AU798" s="109"/>
    </row>
    <row r="799" spans="1:47" ht="14.25" customHeight="1" x14ac:dyDescent="0.3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  <c r="AL799" s="109"/>
      <c r="AM799" s="109"/>
      <c r="AN799" s="109"/>
      <c r="AO799" s="109"/>
      <c r="AP799" s="109"/>
      <c r="AQ799" s="109"/>
      <c r="AR799" s="109"/>
      <c r="AS799" s="109"/>
      <c r="AT799" s="109"/>
      <c r="AU799" s="109"/>
    </row>
    <row r="800" spans="1:47" ht="14.25" customHeight="1" x14ac:dyDescent="0.3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  <c r="AL800" s="109"/>
      <c r="AM800" s="109"/>
      <c r="AN800" s="109"/>
      <c r="AO800" s="109"/>
      <c r="AP800" s="109"/>
      <c r="AQ800" s="109"/>
      <c r="AR800" s="109"/>
      <c r="AS800" s="109"/>
      <c r="AT800" s="109"/>
      <c r="AU800" s="109"/>
    </row>
    <row r="801" spans="1:47" ht="14.25" customHeight="1" x14ac:dyDescent="0.3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  <c r="AL801" s="109"/>
      <c r="AM801" s="109"/>
      <c r="AN801" s="109"/>
      <c r="AO801" s="109"/>
      <c r="AP801" s="109"/>
      <c r="AQ801" s="109"/>
      <c r="AR801" s="109"/>
      <c r="AS801" s="109"/>
      <c r="AT801" s="109"/>
      <c r="AU801" s="109"/>
    </row>
    <row r="802" spans="1:47" ht="14.25" customHeight="1" x14ac:dyDescent="0.3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  <c r="AL802" s="109"/>
      <c r="AM802" s="109"/>
      <c r="AN802" s="109"/>
      <c r="AO802" s="109"/>
      <c r="AP802" s="109"/>
      <c r="AQ802" s="109"/>
      <c r="AR802" s="109"/>
      <c r="AS802" s="109"/>
      <c r="AT802" s="109"/>
      <c r="AU802" s="109"/>
    </row>
    <row r="803" spans="1:47" ht="14.25" customHeight="1" x14ac:dyDescent="0.3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  <c r="AL803" s="109"/>
      <c r="AM803" s="109"/>
      <c r="AN803" s="109"/>
      <c r="AO803" s="109"/>
      <c r="AP803" s="109"/>
      <c r="AQ803" s="109"/>
      <c r="AR803" s="109"/>
      <c r="AS803" s="109"/>
      <c r="AT803" s="109"/>
      <c r="AU803" s="109"/>
    </row>
    <row r="804" spans="1:47" ht="14.25" customHeight="1" x14ac:dyDescent="0.3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  <c r="AL804" s="109"/>
      <c r="AM804" s="109"/>
      <c r="AN804" s="109"/>
      <c r="AO804" s="109"/>
      <c r="AP804" s="109"/>
      <c r="AQ804" s="109"/>
      <c r="AR804" s="109"/>
      <c r="AS804" s="109"/>
      <c r="AT804" s="109"/>
      <c r="AU804" s="109"/>
    </row>
    <row r="805" spans="1:47" ht="14.25" customHeight="1" x14ac:dyDescent="0.3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  <c r="AO805" s="109"/>
      <c r="AP805" s="109"/>
      <c r="AQ805" s="109"/>
      <c r="AR805" s="109"/>
      <c r="AS805" s="109"/>
      <c r="AT805" s="109"/>
      <c r="AU805" s="109"/>
    </row>
    <row r="806" spans="1:47" ht="14.25" customHeight="1" x14ac:dyDescent="0.3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  <c r="AO806" s="109"/>
      <c r="AP806" s="109"/>
      <c r="AQ806" s="109"/>
      <c r="AR806" s="109"/>
      <c r="AS806" s="109"/>
      <c r="AT806" s="109"/>
      <c r="AU806" s="109"/>
    </row>
    <row r="807" spans="1:47" ht="14.25" customHeight="1" x14ac:dyDescent="0.3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  <c r="AO807" s="109"/>
      <c r="AP807" s="109"/>
      <c r="AQ807" s="109"/>
      <c r="AR807" s="109"/>
      <c r="AS807" s="109"/>
      <c r="AT807" s="109"/>
      <c r="AU807" s="109"/>
    </row>
    <row r="808" spans="1:47" ht="14.25" customHeight="1" x14ac:dyDescent="0.3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  <c r="AL808" s="109"/>
      <c r="AM808" s="109"/>
      <c r="AN808" s="109"/>
      <c r="AO808" s="109"/>
      <c r="AP808" s="109"/>
      <c r="AQ808" s="109"/>
      <c r="AR808" s="109"/>
      <c r="AS808" s="109"/>
      <c r="AT808" s="109"/>
      <c r="AU808" s="109"/>
    </row>
    <row r="809" spans="1:47" ht="14.25" customHeight="1" x14ac:dyDescent="0.3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  <c r="AL809" s="109"/>
      <c r="AM809" s="109"/>
      <c r="AN809" s="109"/>
      <c r="AO809" s="109"/>
      <c r="AP809" s="109"/>
      <c r="AQ809" s="109"/>
      <c r="AR809" s="109"/>
      <c r="AS809" s="109"/>
      <c r="AT809" s="109"/>
      <c r="AU809" s="109"/>
    </row>
    <row r="810" spans="1:47" ht="14.25" customHeight="1" x14ac:dyDescent="0.3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  <c r="AL810" s="109"/>
      <c r="AM810" s="109"/>
      <c r="AN810" s="109"/>
      <c r="AO810" s="109"/>
      <c r="AP810" s="109"/>
      <c r="AQ810" s="109"/>
      <c r="AR810" s="109"/>
      <c r="AS810" s="109"/>
      <c r="AT810" s="109"/>
      <c r="AU810" s="109"/>
    </row>
    <row r="811" spans="1:47" ht="14.25" customHeight="1" x14ac:dyDescent="0.3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  <c r="AL811" s="109"/>
      <c r="AM811" s="109"/>
      <c r="AN811" s="109"/>
      <c r="AO811" s="109"/>
      <c r="AP811" s="109"/>
      <c r="AQ811" s="109"/>
      <c r="AR811" s="109"/>
      <c r="AS811" s="109"/>
      <c r="AT811" s="109"/>
      <c r="AU811" s="109"/>
    </row>
    <row r="812" spans="1:47" ht="14.25" customHeight="1" x14ac:dyDescent="0.3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  <c r="AL812" s="109"/>
      <c r="AM812" s="109"/>
      <c r="AN812" s="109"/>
      <c r="AO812" s="109"/>
      <c r="AP812" s="109"/>
      <c r="AQ812" s="109"/>
      <c r="AR812" s="109"/>
      <c r="AS812" s="109"/>
      <c r="AT812" s="109"/>
      <c r="AU812" s="109"/>
    </row>
    <row r="813" spans="1:47" ht="14.25" customHeight="1" x14ac:dyDescent="0.3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  <c r="AL813" s="109"/>
      <c r="AM813" s="109"/>
      <c r="AN813" s="109"/>
      <c r="AO813" s="109"/>
      <c r="AP813" s="109"/>
      <c r="AQ813" s="109"/>
      <c r="AR813" s="109"/>
      <c r="AS813" s="109"/>
      <c r="AT813" s="109"/>
      <c r="AU813" s="109"/>
    </row>
    <row r="814" spans="1:47" ht="14.25" customHeight="1" x14ac:dyDescent="0.3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  <c r="AL814" s="109"/>
      <c r="AM814" s="109"/>
      <c r="AN814" s="109"/>
      <c r="AO814" s="109"/>
      <c r="AP814" s="109"/>
      <c r="AQ814" s="109"/>
      <c r="AR814" s="109"/>
      <c r="AS814" s="109"/>
      <c r="AT814" s="109"/>
      <c r="AU814" s="109"/>
    </row>
    <row r="815" spans="1:47" ht="14.25" customHeight="1" x14ac:dyDescent="0.3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  <c r="AL815" s="109"/>
      <c r="AM815" s="109"/>
      <c r="AN815" s="109"/>
      <c r="AO815" s="109"/>
      <c r="AP815" s="109"/>
      <c r="AQ815" s="109"/>
      <c r="AR815" s="109"/>
      <c r="AS815" s="109"/>
      <c r="AT815" s="109"/>
      <c r="AU815" s="109"/>
    </row>
    <row r="816" spans="1:47" ht="14.25" customHeight="1" x14ac:dyDescent="0.3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  <c r="AL816" s="109"/>
      <c r="AM816" s="109"/>
      <c r="AN816" s="109"/>
      <c r="AO816" s="109"/>
      <c r="AP816" s="109"/>
      <c r="AQ816" s="109"/>
      <c r="AR816" s="109"/>
      <c r="AS816" s="109"/>
      <c r="AT816" s="109"/>
      <c r="AU816" s="109"/>
    </row>
    <row r="817" spans="1:47" ht="14.25" customHeight="1" x14ac:dyDescent="0.3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  <c r="AD817" s="109"/>
      <c r="AE817" s="109"/>
      <c r="AF817" s="109"/>
      <c r="AG817" s="109"/>
      <c r="AH817" s="109"/>
      <c r="AI817" s="109"/>
      <c r="AJ817" s="109"/>
      <c r="AK817" s="109"/>
      <c r="AL817" s="109"/>
      <c r="AM817" s="109"/>
      <c r="AN817" s="109"/>
      <c r="AO817" s="109"/>
      <c r="AP817" s="109"/>
      <c r="AQ817" s="109"/>
      <c r="AR817" s="109"/>
      <c r="AS817" s="109"/>
      <c r="AT817" s="109"/>
      <c r="AU817" s="109"/>
    </row>
    <row r="818" spans="1:47" ht="14.25" customHeight="1" x14ac:dyDescent="0.3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  <c r="AD818" s="109"/>
      <c r="AE818" s="109"/>
      <c r="AF818" s="109"/>
      <c r="AG818" s="109"/>
      <c r="AH818" s="109"/>
      <c r="AI818" s="109"/>
      <c r="AJ818" s="109"/>
      <c r="AK818" s="109"/>
      <c r="AL818" s="109"/>
      <c r="AM818" s="109"/>
      <c r="AN818" s="109"/>
      <c r="AO818" s="109"/>
      <c r="AP818" s="109"/>
      <c r="AQ818" s="109"/>
      <c r="AR818" s="109"/>
      <c r="AS818" s="109"/>
      <c r="AT818" s="109"/>
      <c r="AU818" s="109"/>
    </row>
    <row r="819" spans="1:47" ht="14.25" customHeight="1" x14ac:dyDescent="0.3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  <c r="AL819" s="109"/>
      <c r="AM819" s="109"/>
      <c r="AN819" s="109"/>
      <c r="AO819" s="109"/>
      <c r="AP819" s="109"/>
      <c r="AQ819" s="109"/>
      <c r="AR819" s="109"/>
      <c r="AS819" s="109"/>
      <c r="AT819" s="109"/>
      <c r="AU819" s="109"/>
    </row>
    <row r="820" spans="1:47" ht="14.25" customHeight="1" x14ac:dyDescent="0.3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  <c r="AL820" s="109"/>
      <c r="AM820" s="109"/>
      <c r="AN820" s="109"/>
      <c r="AO820" s="109"/>
      <c r="AP820" s="109"/>
      <c r="AQ820" s="109"/>
      <c r="AR820" s="109"/>
      <c r="AS820" s="109"/>
      <c r="AT820" s="109"/>
      <c r="AU820" s="109"/>
    </row>
    <row r="821" spans="1:47" ht="14.25" customHeight="1" x14ac:dyDescent="0.3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  <c r="AD821" s="109"/>
      <c r="AE821" s="109"/>
      <c r="AF821" s="109"/>
      <c r="AG821" s="109"/>
      <c r="AH821" s="109"/>
      <c r="AI821" s="109"/>
      <c r="AJ821" s="109"/>
      <c r="AK821" s="109"/>
      <c r="AL821" s="109"/>
      <c r="AM821" s="109"/>
      <c r="AN821" s="109"/>
      <c r="AO821" s="109"/>
      <c r="AP821" s="109"/>
      <c r="AQ821" s="109"/>
      <c r="AR821" s="109"/>
      <c r="AS821" s="109"/>
      <c r="AT821" s="109"/>
      <c r="AU821" s="109"/>
    </row>
    <row r="822" spans="1:47" ht="14.25" customHeight="1" x14ac:dyDescent="0.3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  <c r="AD822" s="109"/>
      <c r="AE822" s="109"/>
      <c r="AF822" s="109"/>
      <c r="AG822" s="109"/>
      <c r="AH822" s="109"/>
      <c r="AI822" s="109"/>
      <c r="AJ822" s="109"/>
      <c r="AK822" s="109"/>
      <c r="AL822" s="109"/>
      <c r="AM822" s="109"/>
      <c r="AN822" s="109"/>
      <c r="AO822" s="109"/>
      <c r="AP822" s="109"/>
      <c r="AQ822" s="109"/>
      <c r="AR822" s="109"/>
      <c r="AS822" s="109"/>
      <c r="AT822" s="109"/>
      <c r="AU822" s="109"/>
    </row>
    <row r="823" spans="1:47" ht="14.25" customHeight="1" x14ac:dyDescent="0.3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  <c r="AL823" s="109"/>
      <c r="AM823" s="109"/>
      <c r="AN823" s="109"/>
      <c r="AO823" s="109"/>
      <c r="AP823" s="109"/>
      <c r="AQ823" s="109"/>
      <c r="AR823" s="109"/>
      <c r="AS823" s="109"/>
      <c r="AT823" s="109"/>
      <c r="AU823" s="109"/>
    </row>
    <row r="824" spans="1:47" ht="14.25" customHeight="1" x14ac:dyDescent="0.3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  <c r="AL824" s="109"/>
      <c r="AM824" s="109"/>
      <c r="AN824" s="109"/>
      <c r="AO824" s="109"/>
      <c r="AP824" s="109"/>
      <c r="AQ824" s="109"/>
      <c r="AR824" s="109"/>
      <c r="AS824" s="109"/>
      <c r="AT824" s="109"/>
      <c r="AU824" s="109"/>
    </row>
    <row r="825" spans="1:47" ht="14.25" customHeight="1" x14ac:dyDescent="0.3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  <c r="AL825" s="109"/>
      <c r="AM825" s="109"/>
      <c r="AN825" s="109"/>
      <c r="AO825" s="109"/>
      <c r="AP825" s="109"/>
      <c r="AQ825" s="109"/>
      <c r="AR825" s="109"/>
      <c r="AS825" s="109"/>
      <c r="AT825" s="109"/>
      <c r="AU825" s="109"/>
    </row>
    <row r="826" spans="1:47" ht="14.25" customHeight="1" x14ac:dyDescent="0.3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  <c r="AL826" s="109"/>
      <c r="AM826" s="109"/>
      <c r="AN826" s="109"/>
      <c r="AO826" s="109"/>
      <c r="AP826" s="109"/>
      <c r="AQ826" s="109"/>
      <c r="AR826" s="109"/>
      <c r="AS826" s="109"/>
      <c r="AT826" s="109"/>
      <c r="AU826" s="109"/>
    </row>
    <row r="827" spans="1:47" ht="14.25" customHeight="1" x14ac:dyDescent="0.3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  <c r="AL827" s="109"/>
      <c r="AM827" s="109"/>
      <c r="AN827" s="109"/>
      <c r="AO827" s="109"/>
      <c r="AP827" s="109"/>
      <c r="AQ827" s="109"/>
      <c r="AR827" s="109"/>
      <c r="AS827" s="109"/>
      <c r="AT827" s="109"/>
      <c r="AU827" s="109"/>
    </row>
    <row r="828" spans="1:47" ht="14.25" customHeight="1" x14ac:dyDescent="0.3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  <c r="AL828" s="109"/>
      <c r="AM828" s="109"/>
      <c r="AN828" s="109"/>
      <c r="AO828" s="109"/>
      <c r="AP828" s="109"/>
      <c r="AQ828" s="109"/>
      <c r="AR828" s="109"/>
      <c r="AS828" s="109"/>
      <c r="AT828" s="109"/>
      <c r="AU828" s="109"/>
    </row>
    <row r="829" spans="1:47" ht="14.25" customHeight="1" x14ac:dyDescent="0.3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  <c r="AL829" s="109"/>
      <c r="AM829" s="109"/>
      <c r="AN829" s="109"/>
      <c r="AO829" s="109"/>
      <c r="AP829" s="109"/>
      <c r="AQ829" s="109"/>
      <c r="AR829" s="109"/>
      <c r="AS829" s="109"/>
      <c r="AT829" s="109"/>
      <c r="AU829" s="109"/>
    </row>
    <row r="830" spans="1:47" ht="14.25" customHeight="1" x14ac:dyDescent="0.3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  <c r="AL830" s="109"/>
      <c r="AM830" s="109"/>
      <c r="AN830" s="109"/>
      <c r="AO830" s="109"/>
      <c r="AP830" s="109"/>
      <c r="AQ830" s="109"/>
      <c r="AR830" s="109"/>
      <c r="AS830" s="109"/>
      <c r="AT830" s="109"/>
      <c r="AU830" s="109"/>
    </row>
    <row r="831" spans="1:47" ht="14.25" customHeight="1" x14ac:dyDescent="0.3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  <c r="AL831" s="109"/>
      <c r="AM831" s="109"/>
      <c r="AN831" s="109"/>
      <c r="AO831" s="109"/>
      <c r="AP831" s="109"/>
      <c r="AQ831" s="109"/>
      <c r="AR831" s="109"/>
      <c r="AS831" s="109"/>
      <c r="AT831" s="109"/>
      <c r="AU831" s="109"/>
    </row>
    <row r="832" spans="1:47" ht="14.25" customHeight="1" x14ac:dyDescent="0.3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  <c r="AL832" s="109"/>
      <c r="AM832" s="109"/>
      <c r="AN832" s="109"/>
      <c r="AO832" s="109"/>
      <c r="AP832" s="109"/>
      <c r="AQ832" s="109"/>
      <c r="AR832" s="109"/>
      <c r="AS832" s="109"/>
      <c r="AT832" s="109"/>
      <c r="AU832" s="109"/>
    </row>
    <row r="833" spans="1:47" ht="14.25" customHeight="1" x14ac:dyDescent="0.3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  <c r="AL833" s="109"/>
      <c r="AM833" s="109"/>
      <c r="AN833" s="109"/>
      <c r="AO833" s="109"/>
      <c r="AP833" s="109"/>
      <c r="AQ833" s="109"/>
      <c r="AR833" s="109"/>
      <c r="AS833" s="109"/>
      <c r="AT833" s="109"/>
      <c r="AU833" s="109"/>
    </row>
    <row r="834" spans="1:47" ht="14.25" customHeight="1" x14ac:dyDescent="0.3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  <c r="AD834" s="109"/>
      <c r="AE834" s="109"/>
      <c r="AF834" s="109"/>
      <c r="AG834" s="109"/>
      <c r="AH834" s="109"/>
      <c r="AI834" s="109"/>
      <c r="AJ834" s="109"/>
      <c r="AK834" s="109"/>
      <c r="AL834" s="109"/>
      <c r="AM834" s="109"/>
      <c r="AN834" s="109"/>
      <c r="AO834" s="109"/>
      <c r="AP834" s="109"/>
      <c r="AQ834" s="109"/>
      <c r="AR834" s="109"/>
      <c r="AS834" s="109"/>
      <c r="AT834" s="109"/>
      <c r="AU834" s="109"/>
    </row>
    <row r="835" spans="1:47" ht="14.25" customHeight="1" x14ac:dyDescent="0.3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  <c r="AL835" s="109"/>
      <c r="AM835" s="109"/>
      <c r="AN835" s="109"/>
      <c r="AO835" s="109"/>
      <c r="AP835" s="109"/>
      <c r="AQ835" s="109"/>
      <c r="AR835" s="109"/>
      <c r="AS835" s="109"/>
      <c r="AT835" s="109"/>
      <c r="AU835" s="109"/>
    </row>
    <row r="836" spans="1:47" ht="14.25" customHeight="1" x14ac:dyDescent="0.3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  <c r="AD836" s="109"/>
      <c r="AE836" s="109"/>
      <c r="AF836" s="109"/>
      <c r="AG836" s="109"/>
      <c r="AH836" s="109"/>
      <c r="AI836" s="109"/>
      <c r="AJ836" s="109"/>
      <c r="AK836" s="109"/>
      <c r="AL836" s="109"/>
      <c r="AM836" s="109"/>
      <c r="AN836" s="109"/>
      <c r="AO836" s="109"/>
      <c r="AP836" s="109"/>
      <c r="AQ836" s="109"/>
      <c r="AR836" s="109"/>
      <c r="AS836" s="109"/>
      <c r="AT836" s="109"/>
      <c r="AU836" s="109"/>
    </row>
    <row r="837" spans="1:47" ht="14.25" customHeight="1" x14ac:dyDescent="0.3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  <c r="AL837" s="109"/>
      <c r="AM837" s="109"/>
      <c r="AN837" s="109"/>
      <c r="AO837" s="109"/>
      <c r="AP837" s="109"/>
      <c r="AQ837" s="109"/>
      <c r="AR837" s="109"/>
      <c r="AS837" s="109"/>
      <c r="AT837" s="109"/>
      <c r="AU837" s="109"/>
    </row>
    <row r="838" spans="1:47" ht="14.25" customHeight="1" x14ac:dyDescent="0.3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  <c r="AD838" s="109"/>
      <c r="AE838" s="109"/>
      <c r="AF838" s="109"/>
      <c r="AG838" s="109"/>
      <c r="AH838" s="109"/>
      <c r="AI838" s="109"/>
      <c r="AJ838" s="109"/>
      <c r="AK838" s="109"/>
      <c r="AL838" s="109"/>
      <c r="AM838" s="109"/>
      <c r="AN838" s="109"/>
      <c r="AO838" s="109"/>
      <c r="AP838" s="109"/>
      <c r="AQ838" s="109"/>
      <c r="AR838" s="109"/>
      <c r="AS838" s="109"/>
      <c r="AT838" s="109"/>
      <c r="AU838" s="109"/>
    </row>
    <row r="839" spans="1:47" ht="14.25" customHeight="1" x14ac:dyDescent="0.3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  <c r="AD839" s="109"/>
      <c r="AE839" s="109"/>
      <c r="AF839" s="109"/>
      <c r="AG839" s="109"/>
      <c r="AH839" s="109"/>
      <c r="AI839" s="109"/>
      <c r="AJ839" s="109"/>
      <c r="AK839" s="109"/>
      <c r="AL839" s="109"/>
      <c r="AM839" s="109"/>
      <c r="AN839" s="109"/>
      <c r="AO839" s="109"/>
      <c r="AP839" s="109"/>
      <c r="AQ839" s="109"/>
      <c r="AR839" s="109"/>
      <c r="AS839" s="109"/>
      <c r="AT839" s="109"/>
      <c r="AU839" s="109"/>
    </row>
    <row r="840" spans="1:47" ht="14.25" customHeight="1" x14ac:dyDescent="0.3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  <c r="AD840" s="109"/>
      <c r="AE840" s="109"/>
      <c r="AF840" s="109"/>
      <c r="AG840" s="109"/>
      <c r="AH840" s="109"/>
      <c r="AI840" s="109"/>
      <c r="AJ840" s="109"/>
      <c r="AK840" s="109"/>
      <c r="AL840" s="109"/>
      <c r="AM840" s="109"/>
      <c r="AN840" s="109"/>
      <c r="AO840" s="109"/>
      <c r="AP840" s="109"/>
      <c r="AQ840" s="109"/>
      <c r="AR840" s="109"/>
      <c r="AS840" s="109"/>
      <c r="AT840" s="109"/>
      <c r="AU840" s="109"/>
    </row>
    <row r="841" spans="1:47" ht="14.25" customHeight="1" x14ac:dyDescent="0.3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  <c r="AD841" s="109"/>
      <c r="AE841" s="109"/>
      <c r="AF841" s="109"/>
      <c r="AG841" s="109"/>
      <c r="AH841" s="109"/>
      <c r="AI841" s="109"/>
      <c r="AJ841" s="109"/>
      <c r="AK841" s="109"/>
      <c r="AL841" s="109"/>
      <c r="AM841" s="109"/>
      <c r="AN841" s="109"/>
      <c r="AO841" s="109"/>
      <c r="AP841" s="109"/>
      <c r="AQ841" s="109"/>
      <c r="AR841" s="109"/>
      <c r="AS841" s="109"/>
      <c r="AT841" s="109"/>
      <c r="AU841" s="109"/>
    </row>
    <row r="842" spans="1:47" ht="14.25" customHeight="1" x14ac:dyDescent="0.3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  <c r="AL842" s="109"/>
      <c r="AM842" s="109"/>
      <c r="AN842" s="109"/>
      <c r="AO842" s="109"/>
      <c r="AP842" s="109"/>
      <c r="AQ842" s="109"/>
      <c r="AR842" s="109"/>
      <c r="AS842" s="109"/>
      <c r="AT842" s="109"/>
      <c r="AU842" s="109"/>
    </row>
    <row r="843" spans="1:47" ht="14.25" customHeight="1" x14ac:dyDescent="0.3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  <c r="AD843" s="109"/>
      <c r="AE843" s="109"/>
      <c r="AF843" s="109"/>
      <c r="AG843" s="109"/>
      <c r="AH843" s="109"/>
      <c r="AI843" s="109"/>
      <c r="AJ843" s="109"/>
      <c r="AK843" s="109"/>
      <c r="AL843" s="109"/>
      <c r="AM843" s="109"/>
      <c r="AN843" s="109"/>
      <c r="AO843" s="109"/>
      <c r="AP843" s="109"/>
      <c r="AQ843" s="109"/>
      <c r="AR843" s="109"/>
      <c r="AS843" s="109"/>
      <c r="AT843" s="109"/>
      <c r="AU843" s="109"/>
    </row>
    <row r="844" spans="1:47" ht="14.25" customHeight="1" x14ac:dyDescent="0.3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  <c r="AL844" s="109"/>
      <c r="AM844" s="109"/>
      <c r="AN844" s="109"/>
      <c r="AO844" s="109"/>
      <c r="AP844" s="109"/>
      <c r="AQ844" s="109"/>
      <c r="AR844" s="109"/>
      <c r="AS844" s="109"/>
      <c r="AT844" s="109"/>
      <c r="AU844" s="109"/>
    </row>
    <row r="845" spans="1:47" ht="14.25" customHeight="1" x14ac:dyDescent="0.3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  <c r="AL845" s="109"/>
      <c r="AM845" s="109"/>
      <c r="AN845" s="109"/>
      <c r="AO845" s="109"/>
      <c r="AP845" s="109"/>
      <c r="AQ845" s="109"/>
      <c r="AR845" s="109"/>
      <c r="AS845" s="109"/>
      <c r="AT845" s="109"/>
      <c r="AU845" s="109"/>
    </row>
    <row r="846" spans="1:47" ht="14.25" customHeight="1" x14ac:dyDescent="0.3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  <c r="AD846" s="109"/>
      <c r="AE846" s="109"/>
      <c r="AF846" s="109"/>
      <c r="AG846" s="109"/>
      <c r="AH846" s="109"/>
      <c r="AI846" s="109"/>
      <c r="AJ846" s="109"/>
      <c r="AK846" s="109"/>
      <c r="AL846" s="109"/>
      <c r="AM846" s="109"/>
      <c r="AN846" s="109"/>
      <c r="AO846" s="109"/>
      <c r="AP846" s="109"/>
      <c r="AQ846" s="109"/>
      <c r="AR846" s="109"/>
      <c r="AS846" s="109"/>
      <c r="AT846" s="109"/>
      <c r="AU846" s="109"/>
    </row>
    <row r="847" spans="1:47" ht="14.25" customHeight="1" x14ac:dyDescent="0.3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  <c r="AL847" s="109"/>
      <c r="AM847" s="109"/>
      <c r="AN847" s="109"/>
      <c r="AO847" s="109"/>
      <c r="AP847" s="109"/>
      <c r="AQ847" s="109"/>
      <c r="AR847" s="109"/>
      <c r="AS847" s="109"/>
      <c r="AT847" s="109"/>
      <c r="AU847" s="109"/>
    </row>
    <row r="848" spans="1:47" ht="14.25" customHeight="1" x14ac:dyDescent="0.3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  <c r="AL848" s="109"/>
      <c r="AM848" s="109"/>
      <c r="AN848" s="109"/>
      <c r="AO848" s="109"/>
      <c r="AP848" s="109"/>
      <c r="AQ848" s="109"/>
      <c r="AR848" s="109"/>
      <c r="AS848" s="109"/>
      <c r="AT848" s="109"/>
      <c r="AU848" s="109"/>
    </row>
    <row r="849" spans="1:47" ht="14.25" customHeight="1" x14ac:dyDescent="0.3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  <c r="AL849" s="109"/>
      <c r="AM849" s="109"/>
      <c r="AN849" s="109"/>
      <c r="AO849" s="109"/>
      <c r="AP849" s="109"/>
      <c r="AQ849" s="109"/>
      <c r="AR849" s="109"/>
      <c r="AS849" s="109"/>
      <c r="AT849" s="109"/>
      <c r="AU849" s="109"/>
    </row>
    <row r="850" spans="1:47" ht="14.25" customHeight="1" x14ac:dyDescent="0.3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  <c r="AD850" s="109"/>
      <c r="AE850" s="109"/>
      <c r="AF850" s="109"/>
      <c r="AG850" s="109"/>
      <c r="AH850" s="109"/>
      <c r="AI850" s="109"/>
      <c r="AJ850" s="109"/>
      <c r="AK850" s="109"/>
      <c r="AL850" s="109"/>
      <c r="AM850" s="109"/>
      <c r="AN850" s="109"/>
      <c r="AO850" s="109"/>
      <c r="AP850" s="109"/>
      <c r="AQ850" s="109"/>
      <c r="AR850" s="109"/>
      <c r="AS850" s="109"/>
      <c r="AT850" s="109"/>
      <c r="AU850" s="109"/>
    </row>
    <row r="851" spans="1:47" ht="14.25" customHeight="1" x14ac:dyDescent="0.3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  <c r="AL851" s="109"/>
      <c r="AM851" s="109"/>
      <c r="AN851" s="109"/>
      <c r="AO851" s="109"/>
      <c r="AP851" s="109"/>
      <c r="AQ851" s="109"/>
      <c r="AR851" s="109"/>
      <c r="AS851" s="109"/>
      <c r="AT851" s="109"/>
      <c r="AU851" s="109"/>
    </row>
    <row r="852" spans="1:47" ht="14.25" customHeight="1" x14ac:dyDescent="0.3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  <c r="AD852" s="109"/>
      <c r="AE852" s="109"/>
      <c r="AF852" s="109"/>
      <c r="AG852" s="109"/>
      <c r="AH852" s="109"/>
      <c r="AI852" s="109"/>
      <c r="AJ852" s="109"/>
      <c r="AK852" s="109"/>
      <c r="AL852" s="109"/>
      <c r="AM852" s="109"/>
      <c r="AN852" s="109"/>
      <c r="AO852" s="109"/>
      <c r="AP852" s="109"/>
      <c r="AQ852" s="109"/>
      <c r="AR852" s="109"/>
      <c r="AS852" s="109"/>
      <c r="AT852" s="109"/>
      <c r="AU852" s="109"/>
    </row>
    <row r="853" spans="1:47" ht="14.25" customHeight="1" x14ac:dyDescent="0.3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  <c r="AL853" s="109"/>
      <c r="AM853" s="109"/>
      <c r="AN853" s="109"/>
      <c r="AO853" s="109"/>
      <c r="AP853" s="109"/>
      <c r="AQ853" s="109"/>
      <c r="AR853" s="109"/>
      <c r="AS853" s="109"/>
      <c r="AT853" s="109"/>
      <c r="AU853" s="109"/>
    </row>
    <row r="854" spans="1:47" ht="14.25" customHeight="1" x14ac:dyDescent="0.3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  <c r="AD854" s="109"/>
      <c r="AE854" s="109"/>
      <c r="AF854" s="109"/>
      <c r="AG854" s="109"/>
      <c r="AH854" s="109"/>
      <c r="AI854" s="109"/>
      <c r="AJ854" s="109"/>
      <c r="AK854" s="109"/>
      <c r="AL854" s="109"/>
      <c r="AM854" s="109"/>
      <c r="AN854" s="109"/>
      <c r="AO854" s="109"/>
      <c r="AP854" s="109"/>
      <c r="AQ854" s="109"/>
      <c r="AR854" s="109"/>
      <c r="AS854" s="109"/>
      <c r="AT854" s="109"/>
      <c r="AU854" s="109"/>
    </row>
    <row r="855" spans="1:47" ht="14.25" customHeight="1" x14ac:dyDescent="0.3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  <c r="AD855" s="109"/>
      <c r="AE855" s="109"/>
      <c r="AF855" s="109"/>
      <c r="AG855" s="109"/>
      <c r="AH855" s="109"/>
      <c r="AI855" s="109"/>
      <c r="AJ855" s="109"/>
      <c r="AK855" s="109"/>
      <c r="AL855" s="109"/>
      <c r="AM855" s="109"/>
      <c r="AN855" s="109"/>
      <c r="AO855" s="109"/>
      <c r="AP855" s="109"/>
      <c r="AQ855" s="109"/>
      <c r="AR855" s="109"/>
      <c r="AS855" s="109"/>
      <c r="AT855" s="109"/>
      <c r="AU855" s="109"/>
    </row>
    <row r="856" spans="1:47" ht="14.25" customHeight="1" x14ac:dyDescent="0.3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  <c r="AD856" s="109"/>
      <c r="AE856" s="109"/>
      <c r="AF856" s="109"/>
      <c r="AG856" s="109"/>
      <c r="AH856" s="109"/>
      <c r="AI856" s="109"/>
      <c r="AJ856" s="109"/>
      <c r="AK856" s="109"/>
      <c r="AL856" s="109"/>
      <c r="AM856" s="109"/>
      <c r="AN856" s="109"/>
      <c r="AO856" s="109"/>
      <c r="AP856" s="109"/>
      <c r="AQ856" s="109"/>
      <c r="AR856" s="109"/>
      <c r="AS856" s="109"/>
      <c r="AT856" s="109"/>
      <c r="AU856" s="109"/>
    </row>
    <row r="857" spans="1:47" ht="14.25" customHeight="1" x14ac:dyDescent="0.3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  <c r="AD857" s="109"/>
      <c r="AE857" s="109"/>
      <c r="AF857" s="109"/>
      <c r="AG857" s="109"/>
      <c r="AH857" s="109"/>
      <c r="AI857" s="109"/>
      <c r="AJ857" s="109"/>
      <c r="AK857" s="109"/>
      <c r="AL857" s="109"/>
      <c r="AM857" s="109"/>
      <c r="AN857" s="109"/>
      <c r="AO857" s="109"/>
      <c r="AP857" s="109"/>
      <c r="AQ857" s="109"/>
      <c r="AR857" s="109"/>
      <c r="AS857" s="109"/>
      <c r="AT857" s="109"/>
      <c r="AU857" s="109"/>
    </row>
    <row r="858" spans="1:47" ht="14.25" customHeight="1" x14ac:dyDescent="0.3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  <c r="AD858" s="109"/>
      <c r="AE858" s="109"/>
      <c r="AF858" s="109"/>
      <c r="AG858" s="109"/>
      <c r="AH858" s="109"/>
      <c r="AI858" s="109"/>
      <c r="AJ858" s="109"/>
      <c r="AK858" s="109"/>
      <c r="AL858" s="109"/>
      <c r="AM858" s="109"/>
      <c r="AN858" s="109"/>
      <c r="AO858" s="109"/>
      <c r="AP858" s="109"/>
      <c r="AQ858" s="109"/>
      <c r="AR858" s="109"/>
      <c r="AS858" s="109"/>
      <c r="AT858" s="109"/>
      <c r="AU858" s="109"/>
    </row>
    <row r="859" spans="1:47" ht="14.25" customHeight="1" x14ac:dyDescent="0.3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  <c r="AD859" s="109"/>
      <c r="AE859" s="109"/>
      <c r="AF859" s="109"/>
      <c r="AG859" s="109"/>
      <c r="AH859" s="109"/>
      <c r="AI859" s="109"/>
      <c r="AJ859" s="109"/>
      <c r="AK859" s="109"/>
      <c r="AL859" s="109"/>
      <c r="AM859" s="109"/>
      <c r="AN859" s="109"/>
      <c r="AO859" s="109"/>
      <c r="AP859" s="109"/>
      <c r="AQ859" s="109"/>
      <c r="AR859" s="109"/>
      <c r="AS859" s="109"/>
      <c r="AT859" s="109"/>
      <c r="AU859" s="109"/>
    </row>
    <row r="860" spans="1:47" ht="14.25" customHeight="1" x14ac:dyDescent="0.3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  <c r="AL860" s="109"/>
      <c r="AM860" s="109"/>
      <c r="AN860" s="109"/>
      <c r="AO860" s="109"/>
      <c r="AP860" s="109"/>
      <c r="AQ860" s="109"/>
      <c r="AR860" s="109"/>
      <c r="AS860" s="109"/>
      <c r="AT860" s="109"/>
      <c r="AU860" s="109"/>
    </row>
    <row r="861" spans="1:47" ht="14.25" customHeight="1" x14ac:dyDescent="0.3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  <c r="AL861" s="109"/>
      <c r="AM861" s="109"/>
      <c r="AN861" s="109"/>
      <c r="AO861" s="109"/>
      <c r="AP861" s="109"/>
      <c r="AQ861" s="109"/>
      <c r="AR861" s="109"/>
      <c r="AS861" s="109"/>
      <c r="AT861" s="109"/>
      <c r="AU861" s="109"/>
    </row>
    <row r="862" spans="1:47" ht="14.25" customHeight="1" x14ac:dyDescent="0.3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109"/>
      <c r="AI862" s="109"/>
      <c r="AJ862" s="109"/>
      <c r="AK862" s="109"/>
      <c r="AL862" s="109"/>
      <c r="AM862" s="109"/>
      <c r="AN862" s="109"/>
      <c r="AO862" s="109"/>
      <c r="AP862" s="109"/>
      <c r="AQ862" s="109"/>
      <c r="AR862" s="109"/>
      <c r="AS862" s="109"/>
      <c r="AT862" s="109"/>
      <c r="AU862" s="109"/>
    </row>
    <row r="863" spans="1:47" ht="14.25" customHeight="1" x14ac:dyDescent="0.3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  <c r="AL863" s="109"/>
      <c r="AM863" s="109"/>
      <c r="AN863" s="109"/>
      <c r="AO863" s="109"/>
      <c r="AP863" s="109"/>
      <c r="AQ863" s="109"/>
      <c r="AR863" s="109"/>
      <c r="AS863" s="109"/>
      <c r="AT863" s="109"/>
      <c r="AU863" s="109"/>
    </row>
    <row r="864" spans="1:47" ht="14.25" customHeight="1" x14ac:dyDescent="0.3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  <c r="AL864" s="109"/>
      <c r="AM864" s="109"/>
      <c r="AN864" s="109"/>
      <c r="AO864" s="109"/>
      <c r="AP864" s="109"/>
      <c r="AQ864" s="109"/>
      <c r="AR864" s="109"/>
      <c r="AS864" s="109"/>
      <c r="AT864" s="109"/>
      <c r="AU864" s="109"/>
    </row>
    <row r="865" spans="1:47" ht="14.25" customHeight="1" x14ac:dyDescent="0.3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  <c r="AD865" s="109"/>
      <c r="AE865" s="109"/>
      <c r="AF865" s="109"/>
      <c r="AG865" s="109"/>
      <c r="AH865" s="109"/>
      <c r="AI865" s="109"/>
      <c r="AJ865" s="109"/>
      <c r="AK865" s="109"/>
      <c r="AL865" s="109"/>
      <c r="AM865" s="109"/>
      <c r="AN865" s="109"/>
      <c r="AO865" s="109"/>
      <c r="AP865" s="109"/>
      <c r="AQ865" s="109"/>
      <c r="AR865" s="109"/>
      <c r="AS865" s="109"/>
      <c r="AT865" s="109"/>
      <c r="AU865" s="109"/>
    </row>
    <row r="866" spans="1:47" ht="14.25" customHeight="1" x14ac:dyDescent="0.3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  <c r="AL866" s="109"/>
      <c r="AM866" s="109"/>
      <c r="AN866" s="109"/>
      <c r="AO866" s="109"/>
      <c r="AP866" s="109"/>
      <c r="AQ866" s="109"/>
      <c r="AR866" s="109"/>
      <c r="AS866" s="109"/>
      <c r="AT866" s="109"/>
      <c r="AU866" s="109"/>
    </row>
    <row r="867" spans="1:47" ht="14.25" customHeight="1" x14ac:dyDescent="0.3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  <c r="AD867" s="109"/>
      <c r="AE867" s="109"/>
      <c r="AF867" s="109"/>
      <c r="AG867" s="109"/>
      <c r="AH867" s="109"/>
      <c r="AI867" s="109"/>
      <c r="AJ867" s="109"/>
      <c r="AK867" s="109"/>
      <c r="AL867" s="109"/>
      <c r="AM867" s="109"/>
      <c r="AN867" s="109"/>
      <c r="AO867" s="109"/>
      <c r="AP867" s="109"/>
      <c r="AQ867" s="109"/>
      <c r="AR867" s="109"/>
      <c r="AS867" s="109"/>
      <c r="AT867" s="109"/>
      <c r="AU867" s="109"/>
    </row>
    <row r="868" spans="1:47" ht="14.25" customHeight="1" x14ac:dyDescent="0.3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  <c r="AL868" s="109"/>
      <c r="AM868" s="109"/>
      <c r="AN868" s="109"/>
      <c r="AO868" s="109"/>
      <c r="AP868" s="109"/>
      <c r="AQ868" s="109"/>
      <c r="AR868" s="109"/>
      <c r="AS868" s="109"/>
      <c r="AT868" s="109"/>
      <c r="AU868" s="109"/>
    </row>
    <row r="869" spans="1:47" ht="14.25" customHeight="1" x14ac:dyDescent="0.3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  <c r="AD869" s="109"/>
      <c r="AE869" s="109"/>
      <c r="AF869" s="109"/>
      <c r="AG869" s="109"/>
      <c r="AH869" s="109"/>
      <c r="AI869" s="109"/>
      <c r="AJ869" s="109"/>
      <c r="AK869" s="109"/>
      <c r="AL869" s="109"/>
      <c r="AM869" s="109"/>
      <c r="AN869" s="109"/>
      <c r="AO869" s="109"/>
      <c r="AP869" s="109"/>
      <c r="AQ869" s="109"/>
      <c r="AR869" s="109"/>
      <c r="AS869" s="109"/>
      <c r="AT869" s="109"/>
      <c r="AU869" s="109"/>
    </row>
    <row r="870" spans="1:47" ht="14.25" customHeight="1" x14ac:dyDescent="0.3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  <c r="AD870" s="109"/>
      <c r="AE870" s="109"/>
      <c r="AF870" s="109"/>
      <c r="AG870" s="109"/>
      <c r="AH870" s="109"/>
      <c r="AI870" s="109"/>
      <c r="AJ870" s="109"/>
      <c r="AK870" s="109"/>
      <c r="AL870" s="109"/>
      <c r="AM870" s="109"/>
      <c r="AN870" s="109"/>
      <c r="AO870" s="109"/>
      <c r="AP870" s="109"/>
      <c r="AQ870" s="109"/>
      <c r="AR870" s="109"/>
      <c r="AS870" s="109"/>
      <c r="AT870" s="109"/>
      <c r="AU870" s="109"/>
    </row>
    <row r="871" spans="1:47" ht="14.25" customHeight="1" x14ac:dyDescent="0.3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  <c r="AD871" s="109"/>
      <c r="AE871" s="109"/>
      <c r="AF871" s="109"/>
      <c r="AG871" s="109"/>
      <c r="AH871" s="109"/>
      <c r="AI871" s="109"/>
      <c r="AJ871" s="109"/>
      <c r="AK871" s="109"/>
      <c r="AL871" s="109"/>
      <c r="AM871" s="109"/>
      <c r="AN871" s="109"/>
      <c r="AO871" s="109"/>
      <c r="AP871" s="109"/>
      <c r="AQ871" s="109"/>
      <c r="AR871" s="109"/>
      <c r="AS871" s="109"/>
      <c r="AT871" s="109"/>
      <c r="AU871" s="109"/>
    </row>
    <row r="872" spans="1:47" ht="14.25" customHeight="1" x14ac:dyDescent="0.3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  <c r="AL872" s="109"/>
      <c r="AM872" s="109"/>
      <c r="AN872" s="109"/>
      <c r="AO872" s="109"/>
      <c r="AP872" s="109"/>
      <c r="AQ872" s="109"/>
      <c r="AR872" s="109"/>
      <c r="AS872" s="109"/>
      <c r="AT872" s="109"/>
      <c r="AU872" s="109"/>
    </row>
    <row r="873" spans="1:47" ht="14.25" customHeight="1" x14ac:dyDescent="0.3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  <c r="AL873" s="109"/>
      <c r="AM873" s="109"/>
      <c r="AN873" s="109"/>
      <c r="AO873" s="109"/>
      <c r="AP873" s="109"/>
      <c r="AQ873" s="109"/>
      <c r="AR873" s="109"/>
      <c r="AS873" s="109"/>
      <c r="AT873" s="109"/>
      <c r="AU873" s="109"/>
    </row>
    <row r="874" spans="1:47" ht="14.25" customHeight="1" x14ac:dyDescent="0.3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  <c r="AD874" s="109"/>
      <c r="AE874" s="109"/>
      <c r="AF874" s="109"/>
      <c r="AG874" s="109"/>
      <c r="AH874" s="109"/>
      <c r="AI874" s="109"/>
      <c r="AJ874" s="109"/>
      <c r="AK874" s="109"/>
      <c r="AL874" s="109"/>
      <c r="AM874" s="109"/>
      <c r="AN874" s="109"/>
      <c r="AO874" s="109"/>
      <c r="AP874" s="109"/>
      <c r="AQ874" s="109"/>
      <c r="AR874" s="109"/>
      <c r="AS874" s="109"/>
      <c r="AT874" s="109"/>
      <c r="AU874" s="109"/>
    </row>
    <row r="875" spans="1:47" ht="14.25" customHeight="1" x14ac:dyDescent="0.3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  <c r="AD875" s="109"/>
      <c r="AE875" s="109"/>
      <c r="AF875" s="109"/>
      <c r="AG875" s="109"/>
      <c r="AH875" s="109"/>
      <c r="AI875" s="109"/>
      <c r="AJ875" s="109"/>
      <c r="AK875" s="109"/>
      <c r="AL875" s="109"/>
      <c r="AM875" s="109"/>
      <c r="AN875" s="109"/>
      <c r="AO875" s="109"/>
      <c r="AP875" s="109"/>
      <c r="AQ875" s="109"/>
      <c r="AR875" s="109"/>
      <c r="AS875" s="109"/>
      <c r="AT875" s="109"/>
      <c r="AU875" s="109"/>
    </row>
    <row r="876" spans="1:47" ht="14.25" customHeight="1" x14ac:dyDescent="0.3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  <c r="AD876" s="109"/>
      <c r="AE876" s="109"/>
      <c r="AF876" s="109"/>
      <c r="AG876" s="109"/>
      <c r="AH876" s="109"/>
      <c r="AI876" s="109"/>
      <c r="AJ876" s="109"/>
      <c r="AK876" s="109"/>
      <c r="AL876" s="109"/>
      <c r="AM876" s="109"/>
      <c r="AN876" s="109"/>
      <c r="AO876" s="109"/>
      <c r="AP876" s="109"/>
      <c r="AQ876" s="109"/>
      <c r="AR876" s="109"/>
      <c r="AS876" s="109"/>
      <c r="AT876" s="109"/>
      <c r="AU876" s="109"/>
    </row>
    <row r="877" spans="1:47" ht="14.25" customHeight="1" x14ac:dyDescent="0.3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  <c r="AD877" s="109"/>
      <c r="AE877" s="109"/>
      <c r="AF877" s="109"/>
      <c r="AG877" s="109"/>
      <c r="AH877" s="109"/>
      <c r="AI877" s="109"/>
      <c r="AJ877" s="109"/>
      <c r="AK877" s="109"/>
      <c r="AL877" s="109"/>
      <c r="AM877" s="109"/>
      <c r="AN877" s="109"/>
      <c r="AO877" s="109"/>
      <c r="AP877" s="109"/>
      <c r="AQ877" s="109"/>
      <c r="AR877" s="109"/>
      <c r="AS877" s="109"/>
      <c r="AT877" s="109"/>
      <c r="AU877" s="109"/>
    </row>
    <row r="878" spans="1:47" ht="14.25" customHeight="1" x14ac:dyDescent="0.3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  <c r="AD878" s="109"/>
      <c r="AE878" s="109"/>
      <c r="AF878" s="109"/>
      <c r="AG878" s="109"/>
      <c r="AH878" s="109"/>
      <c r="AI878" s="109"/>
      <c r="AJ878" s="109"/>
      <c r="AK878" s="109"/>
      <c r="AL878" s="109"/>
      <c r="AM878" s="109"/>
      <c r="AN878" s="109"/>
      <c r="AO878" s="109"/>
      <c r="AP878" s="109"/>
      <c r="AQ878" s="109"/>
      <c r="AR878" s="109"/>
      <c r="AS878" s="109"/>
      <c r="AT878" s="109"/>
      <c r="AU878" s="109"/>
    </row>
    <row r="879" spans="1:47" ht="14.25" customHeight="1" x14ac:dyDescent="0.3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  <c r="AD879" s="109"/>
      <c r="AE879" s="109"/>
      <c r="AF879" s="109"/>
      <c r="AG879" s="109"/>
      <c r="AH879" s="109"/>
      <c r="AI879" s="109"/>
      <c r="AJ879" s="109"/>
      <c r="AK879" s="109"/>
      <c r="AL879" s="109"/>
      <c r="AM879" s="109"/>
      <c r="AN879" s="109"/>
      <c r="AO879" s="109"/>
      <c r="AP879" s="109"/>
      <c r="AQ879" s="109"/>
      <c r="AR879" s="109"/>
      <c r="AS879" s="109"/>
      <c r="AT879" s="109"/>
      <c r="AU879" s="109"/>
    </row>
    <row r="880" spans="1:47" ht="14.25" customHeight="1" x14ac:dyDescent="0.3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  <c r="AD880" s="109"/>
      <c r="AE880" s="109"/>
      <c r="AF880" s="109"/>
      <c r="AG880" s="109"/>
      <c r="AH880" s="109"/>
      <c r="AI880" s="109"/>
      <c r="AJ880" s="109"/>
      <c r="AK880" s="109"/>
      <c r="AL880" s="109"/>
      <c r="AM880" s="109"/>
      <c r="AN880" s="109"/>
      <c r="AO880" s="109"/>
      <c r="AP880" s="109"/>
      <c r="AQ880" s="109"/>
      <c r="AR880" s="109"/>
      <c r="AS880" s="109"/>
      <c r="AT880" s="109"/>
      <c r="AU880" s="109"/>
    </row>
    <row r="881" spans="1:47" ht="14.25" customHeight="1" x14ac:dyDescent="0.3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  <c r="AD881" s="109"/>
      <c r="AE881" s="109"/>
      <c r="AF881" s="109"/>
      <c r="AG881" s="109"/>
      <c r="AH881" s="109"/>
      <c r="AI881" s="109"/>
      <c r="AJ881" s="109"/>
      <c r="AK881" s="109"/>
      <c r="AL881" s="109"/>
      <c r="AM881" s="109"/>
      <c r="AN881" s="109"/>
      <c r="AO881" s="109"/>
      <c r="AP881" s="109"/>
      <c r="AQ881" s="109"/>
      <c r="AR881" s="109"/>
      <c r="AS881" s="109"/>
      <c r="AT881" s="109"/>
      <c r="AU881" s="109"/>
    </row>
    <row r="882" spans="1:47" ht="14.25" customHeight="1" x14ac:dyDescent="0.3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  <c r="AD882" s="109"/>
      <c r="AE882" s="109"/>
      <c r="AF882" s="109"/>
      <c r="AG882" s="109"/>
      <c r="AH882" s="109"/>
      <c r="AI882" s="109"/>
      <c r="AJ882" s="109"/>
      <c r="AK882" s="109"/>
      <c r="AL882" s="109"/>
      <c r="AM882" s="109"/>
      <c r="AN882" s="109"/>
      <c r="AO882" s="109"/>
      <c r="AP882" s="109"/>
      <c r="AQ882" s="109"/>
      <c r="AR882" s="109"/>
      <c r="AS882" s="109"/>
      <c r="AT882" s="109"/>
      <c r="AU882" s="109"/>
    </row>
    <row r="883" spans="1:47" ht="14.25" customHeight="1" x14ac:dyDescent="0.3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  <c r="AL883" s="109"/>
      <c r="AM883" s="109"/>
      <c r="AN883" s="109"/>
      <c r="AO883" s="109"/>
      <c r="AP883" s="109"/>
      <c r="AQ883" s="109"/>
      <c r="AR883" s="109"/>
      <c r="AS883" s="109"/>
      <c r="AT883" s="109"/>
      <c r="AU883" s="109"/>
    </row>
    <row r="884" spans="1:47" ht="14.25" customHeight="1" x14ac:dyDescent="0.3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  <c r="AL884" s="109"/>
      <c r="AM884" s="109"/>
      <c r="AN884" s="109"/>
      <c r="AO884" s="109"/>
      <c r="AP884" s="109"/>
      <c r="AQ884" s="109"/>
      <c r="AR884" s="109"/>
      <c r="AS884" s="109"/>
      <c r="AT884" s="109"/>
      <c r="AU884" s="109"/>
    </row>
    <row r="885" spans="1:47" ht="14.25" customHeight="1" x14ac:dyDescent="0.3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  <c r="AL885" s="109"/>
      <c r="AM885" s="109"/>
      <c r="AN885" s="109"/>
      <c r="AO885" s="109"/>
      <c r="AP885" s="109"/>
      <c r="AQ885" s="109"/>
      <c r="AR885" s="109"/>
      <c r="AS885" s="109"/>
      <c r="AT885" s="109"/>
      <c r="AU885" s="109"/>
    </row>
    <row r="886" spans="1:47" ht="14.25" customHeight="1" x14ac:dyDescent="0.3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  <c r="AL886" s="109"/>
      <c r="AM886" s="109"/>
      <c r="AN886" s="109"/>
      <c r="AO886" s="109"/>
      <c r="AP886" s="109"/>
      <c r="AQ886" s="109"/>
      <c r="AR886" s="109"/>
      <c r="AS886" s="109"/>
      <c r="AT886" s="109"/>
      <c r="AU886" s="109"/>
    </row>
    <row r="887" spans="1:47" ht="14.25" customHeight="1" x14ac:dyDescent="0.3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  <c r="AL887" s="109"/>
      <c r="AM887" s="109"/>
      <c r="AN887" s="109"/>
      <c r="AO887" s="109"/>
      <c r="AP887" s="109"/>
      <c r="AQ887" s="109"/>
      <c r="AR887" s="109"/>
      <c r="AS887" s="109"/>
      <c r="AT887" s="109"/>
      <c r="AU887" s="109"/>
    </row>
    <row r="888" spans="1:47" ht="14.25" customHeight="1" x14ac:dyDescent="0.3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  <c r="AL888" s="109"/>
      <c r="AM888" s="109"/>
      <c r="AN888" s="109"/>
      <c r="AO888" s="109"/>
      <c r="AP888" s="109"/>
      <c r="AQ888" s="109"/>
      <c r="AR888" s="109"/>
      <c r="AS888" s="109"/>
      <c r="AT888" s="109"/>
      <c r="AU888" s="109"/>
    </row>
    <row r="889" spans="1:47" ht="14.25" customHeight="1" x14ac:dyDescent="0.3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  <c r="AL889" s="109"/>
      <c r="AM889" s="109"/>
      <c r="AN889" s="109"/>
      <c r="AO889" s="109"/>
      <c r="AP889" s="109"/>
      <c r="AQ889" s="109"/>
      <c r="AR889" s="109"/>
      <c r="AS889" s="109"/>
      <c r="AT889" s="109"/>
      <c r="AU889" s="109"/>
    </row>
    <row r="890" spans="1:47" ht="14.25" customHeight="1" x14ac:dyDescent="0.3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  <c r="AD890" s="109"/>
      <c r="AE890" s="109"/>
      <c r="AF890" s="109"/>
      <c r="AG890" s="109"/>
      <c r="AH890" s="109"/>
      <c r="AI890" s="109"/>
      <c r="AJ890" s="109"/>
      <c r="AK890" s="109"/>
      <c r="AL890" s="109"/>
      <c r="AM890" s="109"/>
      <c r="AN890" s="109"/>
      <c r="AO890" s="109"/>
      <c r="AP890" s="109"/>
      <c r="AQ890" s="109"/>
      <c r="AR890" s="109"/>
      <c r="AS890" s="109"/>
      <c r="AT890" s="109"/>
      <c r="AU890" s="109"/>
    </row>
    <row r="891" spans="1:47" ht="14.25" customHeight="1" x14ac:dyDescent="0.3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  <c r="AD891" s="109"/>
      <c r="AE891" s="109"/>
      <c r="AF891" s="109"/>
      <c r="AG891" s="109"/>
      <c r="AH891" s="109"/>
      <c r="AI891" s="109"/>
      <c r="AJ891" s="109"/>
      <c r="AK891" s="109"/>
      <c r="AL891" s="109"/>
      <c r="AM891" s="109"/>
      <c r="AN891" s="109"/>
      <c r="AO891" s="109"/>
      <c r="AP891" s="109"/>
      <c r="AQ891" s="109"/>
      <c r="AR891" s="109"/>
      <c r="AS891" s="109"/>
      <c r="AT891" s="109"/>
      <c r="AU891" s="109"/>
    </row>
    <row r="892" spans="1:47" ht="14.25" customHeight="1" x14ac:dyDescent="0.3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  <c r="AD892" s="109"/>
      <c r="AE892" s="109"/>
      <c r="AF892" s="109"/>
      <c r="AG892" s="109"/>
      <c r="AH892" s="109"/>
      <c r="AI892" s="109"/>
      <c r="AJ892" s="109"/>
      <c r="AK892" s="109"/>
      <c r="AL892" s="109"/>
      <c r="AM892" s="109"/>
      <c r="AN892" s="109"/>
      <c r="AO892" s="109"/>
      <c r="AP892" s="109"/>
      <c r="AQ892" s="109"/>
      <c r="AR892" s="109"/>
      <c r="AS892" s="109"/>
      <c r="AT892" s="109"/>
      <c r="AU892" s="109"/>
    </row>
    <row r="893" spans="1:47" ht="14.25" customHeight="1" x14ac:dyDescent="0.3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  <c r="AD893" s="109"/>
      <c r="AE893" s="109"/>
      <c r="AF893" s="109"/>
      <c r="AG893" s="109"/>
      <c r="AH893" s="109"/>
      <c r="AI893" s="109"/>
      <c r="AJ893" s="109"/>
      <c r="AK893" s="109"/>
      <c r="AL893" s="109"/>
      <c r="AM893" s="109"/>
      <c r="AN893" s="109"/>
      <c r="AO893" s="109"/>
      <c r="AP893" s="109"/>
      <c r="AQ893" s="109"/>
      <c r="AR893" s="109"/>
      <c r="AS893" s="109"/>
      <c r="AT893" s="109"/>
      <c r="AU893" s="109"/>
    </row>
    <row r="894" spans="1:47" ht="14.25" customHeight="1" x14ac:dyDescent="0.3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  <c r="AD894" s="109"/>
      <c r="AE894" s="109"/>
      <c r="AF894" s="109"/>
      <c r="AG894" s="109"/>
      <c r="AH894" s="109"/>
      <c r="AI894" s="109"/>
      <c r="AJ894" s="109"/>
      <c r="AK894" s="109"/>
      <c r="AL894" s="109"/>
      <c r="AM894" s="109"/>
      <c r="AN894" s="109"/>
      <c r="AO894" s="109"/>
      <c r="AP894" s="109"/>
      <c r="AQ894" s="109"/>
      <c r="AR894" s="109"/>
      <c r="AS894" s="109"/>
      <c r="AT894" s="109"/>
      <c r="AU894" s="109"/>
    </row>
    <row r="895" spans="1:47" ht="14.25" customHeight="1" x14ac:dyDescent="0.3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/>
      <c r="AL895" s="109"/>
      <c r="AM895" s="109"/>
      <c r="AN895" s="109"/>
      <c r="AO895" s="109"/>
      <c r="AP895" s="109"/>
      <c r="AQ895" s="109"/>
      <c r="AR895" s="109"/>
      <c r="AS895" s="109"/>
      <c r="AT895" s="109"/>
      <c r="AU895" s="109"/>
    </row>
    <row r="896" spans="1:47" ht="14.25" customHeight="1" x14ac:dyDescent="0.3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  <c r="AL896" s="109"/>
      <c r="AM896" s="109"/>
      <c r="AN896" s="109"/>
      <c r="AO896" s="109"/>
      <c r="AP896" s="109"/>
      <c r="AQ896" s="109"/>
      <c r="AR896" s="109"/>
      <c r="AS896" s="109"/>
      <c r="AT896" s="109"/>
      <c r="AU896" s="109"/>
    </row>
    <row r="897" spans="1:47" ht="14.25" customHeight="1" x14ac:dyDescent="0.3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/>
      <c r="AL897" s="109"/>
      <c r="AM897" s="109"/>
      <c r="AN897" s="109"/>
      <c r="AO897" s="109"/>
      <c r="AP897" s="109"/>
      <c r="AQ897" s="109"/>
      <c r="AR897" s="109"/>
      <c r="AS897" s="109"/>
      <c r="AT897" s="109"/>
      <c r="AU897" s="109"/>
    </row>
    <row r="898" spans="1:47" ht="14.25" customHeight="1" x14ac:dyDescent="0.3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/>
      <c r="AL898" s="109"/>
      <c r="AM898" s="109"/>
      <c r="AN898" s="109"/>
      <c r="AO898" s="109"/>
      <c r="AP898" s="109"/>
      <c r="AQ898" s="109"/>
      <c r="AR898" s="109"/>
      <c r="AS898" s="109"/>
      <c r="AT898" s="109"/>
      <c r="AU898" s="109"/>
    </row>
    <row r="899" spans="1:47" ht="14.25" customHeight="1" x14ac:dyDescent="0.3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/>
      <c r="AL899" s="109"/>
      <c r="AM899" s="109"/>
      <c r="AN899" s="109"/>
      <c r="AO899" s="109"/>
      <c r="AP899" s="109"/>
      <c r="AQ899" s="109"/>
      <c r="AR899" s="109"/>
      <c r="AS899" s="109"/>
      <c r="AT899" s="109"/>
      <c r="AU899" s="109"/>
    </row>
    <row r="900" spans="1:47" ht="14.25" customHeight="1" x14ac:dyDescent="0.3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/>
      <c r="AL900" s="109"/>
      <c r="AM900" s="109"/>
      <c r="AN900" s="109"/>
      <c r="AO900" s="109"/>
      <c r="AP900" s="109"/>
      <c r="AQ900" s="109"/>
      <c r="AR900" s="109"/>
      <c r="AS900" s="109"/>
      <c r="AT900" s="109"/>
      <c r="AU900" s="109"/>
    </row>
    <row r="901" spans="1:47" ht="14.25" customHeight="1" x14ac:dyDescent="0.3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/>
      <c r="AL901" s="109"/>
      <c r="AM901" s="109"/>
      <c r="AN901" s="109"/>
      <c r="AO901" s="109"/>
      <c r="AP901" s="109"/>
      <c r="AQ901" s="109"/>
      <c r="AR901" s="109"/>
      <c r="AS901" s="109"/>
      <c r="AT901" s="109"/>
      <c r="AU901" s="109"/>
    </row>
    <row r="902" spans="1:47" ht="14.25" customHeight="1" x14ac:dyDescent="0.3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09"/>
      <c r="AL902" s="109"/>
      <c r="AM902" s="109"/>
      <c r="AN902" s="109"/>
      <c r="AO902" s="109"/>
      <c r="AP902" s="109"/>
      <c r="AQ902" s="109"/>
      <c r="AR902" s="109"/>
      <c r="AS902" s="109"/>
      <c r="AT902" s="109"/>
      <c r="AU902" s="109"/>
    </row>
    <row r="903" spans="1:47" ht="14.25" customHeight="1" x14ac:dyDescent="0.3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/>
      <c r="AL903" s="109"/>
      <c r="AM903" s="109"/>
      <c r="AN903" s="109"/>
      <c r="AO903" s="109"/>
      <c r="AP903" s="109"/>
      <c r="AQ903" s="109"/>
      <c r="AR903" s="109"/>
      <c r="AS903" s="109"/>
      <c r="AT903" s="109"/>
      <c r="AU903" s="109"/>
    </row>
    <row r="904" spans="1:47" ht="14.25" customHeight="1" x14ac:dyDescent="0.3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109"/>
      <c r="AI904" s="109"/>
      <c r="AJ904" s="109"/>
      <c r="AK904" s="109"/>
      <c r="AL904" s="109"/>
      <c r="AM904" s="109"/>
      <c r="AN904" s="109"/>
      <c r="AO904" s="109"/>
      <c r="AP904" s="109"/>
      <c r="AQ904" s="109"/>
      <c r="AR904" s="109"/>
      <c r="AS904" s="109"/>
      <c r="AT904" s="109"/>
      <c r="AU904" s="109"/>
    </row>
    <row r="905" spans="1:47" ht="14.25" customHeight="1" x14ac:dyDescent="0.3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  <c r="AD905" s="109"/>
      <c r="AE905" s="109"/>
      <c r="AF905" s="109"/>
      <c r="AG905" s="109"/>
      <c r="AH905" s="109"/>
      <c r="AI905" s="109"/>
      <c r="AJ905" s="109"/>
      <c r="AK905" s="109"/>
      <c r="AL905" s="109"/>
      <c r="AM905" s="109"/>
      <c r="AN905" s="109"/>
      <c r="AO905" s="109"/>
      <c r="AP905" s="109"/>
      <c r="AQ905" s="109"/>
      <c r="AR905" s="109"/>
      <c r="AS905" s="109"/>
      <c r="AT905" s="109"/>
      <c r="AU905" s="109"/>
    </row>
    <row r="906" spans="1:47" ht="14.25" customHeight="1" x14ac:dyDescent="0.3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  <c r="AD906" s="109"/>
      <c r="AE906" s="109"/>
      <c r="AF906" s="109"/>
      <c r="AG906" s="109"/>
      <c r="AH906" s="109"/>
      <c r="AI906" s="109"/>
      <c r="AJ906" s="109"/>
      <c r="AK906" s="109"/>
      <c r="AL906" s="109"/>
      <c r="AM906" s="109"/>
      <c r="AN906" s="109"/>
      <c r="AO906" s="109"/>
      <c r="AP906" s="109"/>
      <c r="AQ906" s="109"/>
      <c r="AR906" s="109"/>
      <c r="AS906" s="109"/>
      <c r="AT906" s="109"/>
      <c r="AU906" s="109"/>
    </row>
    <row r="907" spans="1:47" ht="14.25" customHeight="1" x14ac:dyDescent="0.3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  <c r="AD907" s="109"/>
      <c r="AE907" s="109"/>
      <c r="AF907" s="109"/>
      <c r="AG907" s="109"/>
      <c r="AH907" s="109"/>
      <c r="AI907" s="109"/>
      <c r="AJ907" s="109"/>
      <c r="AK907" s="109"/>
      <c r="AL907" s="109"/>
      <c r="AM907" s="109"/>
      <c r="AN907" s="109"/>
      <c r="AO907" s="109"/>
      <c r="AP907" s="109"/>
      <c r="AQ907" s="109"/>
      <c r="AR907" s="109"/>
      <c r="AS907" s="109"/>
      <c r="AT907" s="109"/>
      <c r="AU907" s="109"/>
    </row>
    <row r="908" spans="1:47" ht="14.25" customHeight="1" x14ac:dyDescent="0.3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  <c r="AD908" s="109"/>
      <c r="AE908" s="109"/>
      <c r="AF908" s="109"/>
      <c r="AG908" s="109"/>
      <c r="AH908" s="109"/>
      <c r="AI908" s="109"/>
      <c r="AJ908" s="109"/>
      <c r="AK908" s="109"/>
      <c r="AL908" s="109"/>
      <c r="AM908" s="109"/>
      <c r="AN908" s="109"/>
      <c r="AO908" s="109"/>
      <c r="AP908" s="109"/>
      <c r="AQ908" s="109"/>
      <c r="AR908" s="109"/>
      <c r="AS908" s="109"/>
      <c r="AT908" s="109"/>
      <c r="AU908" s="109"/>
    </row>
    <row r="909" spans="1:47" ht="14.25" customHeight="1" x14ac:dyDescent="0.3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  <c r="AD909" s="109"/>
      <c r="AE909" s="109"/>
      <c r="AF909" s="109"/>
      <c r="AG909" s="109"/>
      <c r="AH909" s="109"/>
      <c r="AI909" s="109"/>
      <c r="AJ909" s="109"/>
      <c r="AK909" s="109"/>
      <c r="AL909" s="109"/>
      <c r="AM909" s="109"/>
      <c r="AN909" s="109"/>
      <c r="AO909" s="109"/>
      <c r="AP909" s="109"/>
      <c r="AQ909" s="109"/>
      <c r="AR909" s="109"/>
      <c r="AS909" s="109"/>
      <c r="AT909" s="109"/>
      <c r="AU909" s="109"/>
    </row>
    <row r="910" spans="1:47" ht="14.25" customHeight="1" x14ac:dyDescent="0.3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  <c r="AD910" s="109"/>
      <c r="AE910" s="109"/>
      <c r="AF910" s="109"/>
      <c r="AG910" s="109"/>
      <c r="AH910" s="109"/>
      <c r="AI910" s="109"/>
      <c r="AJ910" s="109"/>
      <c r="AK910" s="109"/>
      <c r="AL910" s="109"/>
      <c r="AM910" s="109"/>
      <c r="AN910" s="109"/>
      <c r="AO910" s="109"/>
      <c r="AP910" s="109"/>
      <c r="AQ910" s="109"/>
      <c r="AR910" s="109"/>
      <c r="AS910" s="109"/>
      <c r="AT910" s="109"/>
      <c r="AU910" s="109"/>
    </row>
    <row r="911" spans="1:47" ht="14.25" customHeight="1" x14ac:dyDescent="0.3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  <c r="AD911" s="109"/>
      <c r="AE911" s="109"/>
      <c r="AF911" s="109"/>
      <c r="AG911" s="109"/>
      <c r="AH911" s="109"/>
      <c r="AI911" s="109"/>
      <c r="AJ911" s="109"/>
      <c r="AK911" s="109"/>
      <c r="AL911" s="109"/>
      <c r="AM911" s="109"/>
      <c r="AN911" s="109"/>
      <c r="AO911" s="109"/>
      <c r="AP911" s="109"/>
      <c r="AQ911" s="109"/>
      <c r="AR911" s="109"/>
      <c r="AS911" s="109"/>
      <c r="AT911" s="109"/>
      <c r="AU911" s="109"/>
    </row>
    <row r="912" spans="1:47" ht="14.25" customHeight="1" x14ac:dyDescent="0.3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09"/>
      <c r="AG912" s="109"/>
      <c r="AH912" s="109"/>
      <c r="AI912" s="109"/>
      <c r="AJ912" s="109"/>
      <c r="AK912" s="109"/>
      <c r="AL912" s="109"/>
      <c r="AM912" s="109"/>
      <c r="AN912" s="109"/>
      <c r="AO912" s="109"/>
      <c r="AP912" s="109"/>
      <c r="AQ912" s="109"/>
      <c r="AR912" s="109"/>
      <c r="AS912" s="109"/>
      <c r="AT912" s="109"/>
      <c r="AU912" s="109"/>
    </row>
    <row r="913" spans="1:47" ht="14.25" customHeight="1" x14ac:dyDescent="0.3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09"/>
      <c r="AG913" s="109"/>
      <c r="AH913" s="109"/>
      <c r="AI913" s="109"/>
      <c r="AJ913" s="109"/>
      <c r="AK913" s="109"/>
      <c r="AL913" s="109"/>
      <c r="AM913" s="109"/>
      <c r="AN913" s="109"/>
      <c r="AO913" s="109"/>
      <c r="AP913" s="109"/>
      <c r="AQ913" s="109"/>
      <c r="AR913" s="109"/>
      <c r="AS913" s="109"/>
      <c r="AT913" s="109"/>
      <c r="AU913" s="109"/>
    </row>
    <row r="914" spans="1:47" ht="14.25" customHeight="1" x14ac:dyDescent="0.3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  <c r="AL914" s="109"/>
      <c r="AM914" s="109"/>
      <c r="AN914" s="109"/>
      <c r="AO914" s="109"/>
      <c r="AP914" s="109"/>
      <c r="AQ914" s="109"/>
      <c r="AR914" s="109"/>
      <c r="AS914" s="109"/>
      <c r="AT914" s="109"/>
      <c r="AU914" s="109"/>
    </row>
    <row r="915" spans="1:47" ht="14.25" customHeight="1" x14ac:dyDescent="0.3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09"/>
      <c r="AG915" s="109"/>
      <c r="AH915" s="109"/>
      <c r="AI915" s="109"/>
      <c r="AJ915" s="109"/>
      <c r="AK915" s="109"/>
      <c r="AL915" s="109"/>
      <c r="AM915" s="109"/>
      <c r="AN915" s="109"/>
      <c r="AO915" s="109"/>
      <c r="AP915" s="109"/>
      <c r="AQ915" s="109"/>
      <c r="AR915" s="109"/>
      <c r="AS915" s="109"/>
      <c r="AT915" s="109"/>
      <c r="AU915" s="109"/>
    </row>
    <row r="916" spans="1:47" ht="14.25" customHeight="1" x14ac:dyDescent="0.3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09"/>
      <c r="AG916" s="109"/>
      <c r="AH916" s="109"/>
      <c r="AI916" s="109"/>
      <c r="AJ916" s="109"/>
      <c r="AK916" s="109"/>
      <c r="AL916" s="109"/>
      <c r="AM916" s="109"/>
      <c r="AN916" s="109"/>
      <c r="AO916" s="109"/>
      <c r="AP916" s="109"/>
      <c r="AQ916" s="109"/>
      <c r="AR916" s="109"/>
      <c r="AS916" s="109"/>
      <c r="AT916" s="109"/>
      <c r="AU916" s="109"/>
    </row>
    <row r="917" spans="1:47" ht="14.25" customHeight="1" x14ac:dyDescent="0.3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09"/>
      <c r="AG917" s="109"/>
      <c r="AH917" s="109"/>
      <c r="AI917" s="109"/>
      <c r="AJ917" s="109"/>
      <c r="AK917" s="109"/>
      <c r="AL917" s="109"/>
      <c r="AM917" s="109"/>
      <c r="AN917" s="109"/>
      <c r="AO917" s="109"/>
      <c r="AP917" s="109"/>
      <c r="AQ917" s="109"/>
      <c r="AR917" s="109"/>
      <c r="AS917" s="109"/>
      <c r="AT917" s="109"/>
      <c r="AU917" s="109"/>
    </row>
    <row r="918" spans="1:47" ht="14.25" customHeight="1" x14ac:dyDescent="0.3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  <c r="AD918" s="109"/>
      <c r="AE918" s="109"/>
      <c r="AF918" s="109"/>
      <c r="AG918" s="109"/>
      <c r="AH918" s="109"/>
      <c r="AI918" s="109"/>
      <c r="AJ918" s="109"/>
      <c r="AK918" s="109"/>
      <c r="AL918" s="109"/>
      <c r="AM918" s="109"/>
      <c r="AN918" s="109"/>
      <c r="AO918" s="109"/>
      <c r="AP918" s="109"/>
      <c r="AQ918" s="109"/>
      <c r="AR918" s="109"/>
      <c r="AS918" s="109"/>
      <c r="AT918" s="109"/>
      <c r="AU918" s="109"/>
    </row>
    <row r="919" spans="1:47" ht="14.25" customHeight="1" x14ac:dyDescent="0.3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09"/>
      <c r="AG919" s="109"/>
      <c r="AH919" s="109"/>
      <c r="AI919" s="109"/>
      <c r="AJ919" s="109"/>
      <c r="AK919" s="109"/>
      <c r="AL919" s="109"/>
      <c r="AM919" s="109"/>
      <c r="AN919" s="109"/>
      <c r="AO919" s="109"/>
      <c r="AP919" s="109"/>
      <c r="AQ919" s="109"/>
      <c r="AR919" s="109"/>
      <c r="AS919" s="109"/>
      <c r="AT919" s="109"/>
      <c r="AU919" s="109"/>
    </row>
    <row r="920" spans="1:47" ht="14.25" customHeight="1" x14ac:dyDescent="0.3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09"/>
      <c r="AG920" s="109"/>
      <c r="AH920" s="109"/>
      <c r="AI920" s="109"/>
      <c r="AJ920" s="109"/>
      <c r="AK920" s="109"/>
      <c r="AL920" s="109"/>
      <c r="AM920" s="109"/>
      <c r="AN920" s="109"/>
      <c r="AO920" s="109"/>
      <c r="AP920" s="109"/>
      <c r="AQ920" s="109"/>
      <c r="AR920" s="109"/>
      <c r="AS920" s="109"/>
      <c r="AT920" s="109"/>
      <c r="AU920" s="109"/>
    </row>
    <row r="921" spans="1:47" ht="14.25" customHeight="1" x14ac:dyDescent="0.3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/>
      <c r="AL921" s="109"/>
      <c r="AM921" s="109"/>
      <c r="AN921" s="109"/>
      <c r="AO921" s="109"/>
      <c r="AP921" s="109"/>
      <c r="AQ921" s="109"/>
      <c r="AR921" s="109"/>
      <c r="AS921" s="109"/>
      <c r="AT921" s="109"/>
      <c r="AU921" s="109"/>
    </row>
    <row r="922" spans="1:47" ht="14.25" customHeight="1" x14ac:dyDescent="0.3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09"/>
      <c r="AG922" s="109"/>
      <c r="AH922" s="109"/>
      <c r="AI922" s="109"/>
      <c r="AJ922" s="109"/>
      <c r="AK922" s="109"/>
      <c r="AL922" s="109"/>
      <c r="AM922" s="109"/>
      <c r="AN922" s="109"/>
      <c r="AO922" s="109"/>
      <c r="AP922" s="109"/>
      <c r="AQ922" s="109"/>
      <c r="AR922" s="109"/>
      <c r="AS922" s="109"/>
      <c r="AT922" s="109"/>
      <c r="AU922" s="109"/>
    </row>
    <row r="923" spans="1:47" ht="14.25" customHeight="1" x14ac:dyDescent="0.3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09"/>
      <c r="AL923" s="109"/>
      <c r="AM923" s="109"/>
      <c r="AN923" s="109"/>
      <c r="AO923" s="109"/>
      <c r="AP923" s="109"/>
      <c r="AQ923" s="109"/>
      <c r="AR923" s="109"/>
      <c r="AS923" s="109"/>
      <c r="AT923" s="109"/>
      <c r="AU923" s="109"/>
    </row>
    <row r="924" spans="1:47" ht="14.25" customHeight="1" x14ac:dyDescent="0.3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09"/>
      <c r="AG924" s="109"/>
      <c r="AH924" s="109"/>
      <c r="AI924" s="109"/>
      <c r="AJ924" s="109"/>
      <c r="AK924" s="109"/>
      <c r="AL924" s="109"/>
      <c r="AM924" s="109"/>
      <c r="AN924" s="109"/>
      <c r="AO924" s="109"/>
      <c r="AP924" s="109"/>
      <c r="AQ924" s="109"/>
      <c r="AR924" s="109"/>
      <c r="AS924" s="109"/>
      <c r="AT924" s="109"/>
      <c r="AU924" s="109"/>
    </row>
    <row r="925" spans="1:47" ht="14.25" customHeight="1" x14ac:dyDescent="0.3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09"/>
      <c r="AG925" s="109"/>
      <c r="AH925" s="109"/>
      <c r="AI925" s="109"/>
      <c r="AJ925" s="109"/>
      <c r="AK925" s="109"/>
      <c r="AL925" s="109"/>
      <c r="AM925" s="109"/>
      <c r="AN925" s="109"/>
      <c r="AO925" s="109"/>
      <c r="AP925" s="109"/>
      <c r="AQ925" s="109"/>
      <c r="AR925" s="109"/>
      <c r="AS925" s="109"/>
      <c r="AT925" s="109"/>
      <c r="AU925" s="109"/>
    </row>
    <row r="926" spans="1:47" ht="14.25" customHeight="1" x14ac:dyDescent="0.3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09"/>
      <c r="AG926" s="109"/>
      <c r="AH926" s="109"/>
      <c r="AI926" s="109"/>
      <c r="AJ926" s="109"/>
      <c r="AK926" s="109"/>
      <c r="AL926" s="109"/>
      <c r="AM926" s="109"/>
      <c r="AN926" s="109"/>
      <c r="AO926" s="109"/>
      <c r="AP926" s="109"/>
      <c r="AQ926" s="109"/>
      <c r="AR926" s="109"/>
      <c r="AS926" s="109"/>
      <c r="AT926" s="109"/>
      <c r="AU926" s="109"/>
    </row>
    <row r="927" spans="1:47" ht="14.25" customHeight="1" x14ac:dyDescent="0.3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09"/>
      <c r="AG927" s="109"/>
      <c r="AH927" s="109"/>
      <c r="AI927" s="109"/>
      <c r="AJ927" s="109"/>
      <c r="AK927" s="109"/>
      <c r="AL927" s="109"/>
      <c r="AM927" s="109"/>
      <c r="AN927" s="109"/>
      <c r="AO927" s="109"/>
      <c r="AP927" s="109"/>
      <c r="AQ927" s="109"/>
      <c r="AR927" s="109"/>
      <c r="AS927" s="109"/>
      <c r="AT927" s="109"/>
      <c r="AU927" s="109"/>
    </row>
    <row r="928" spans="1:47" ht="14.25" customHeight="1" x14ac:dyDescent="0.3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09"/>
      <c r="AG928" s="109"/>
      <c r="AH928" s="109"/>
      <c r="AI928" s="109"/>
      <c r="AJ928" s="109"/>
      <c r="AK928" s="109"/>
      <c r="AL928" s="109"/>
      <c r="AM928" s="109"/>
      <c r="AN928" s="109"/>
      <c r="AO928" s="109"/>
      <c r="AP928" s="109"/>
      <c r="AQ928" s="109"/>
      <c r="AR928" s="109"/>
      <c r="AS928" s="109"/>
      <c r="AT928" s="109"/>
      <c r="AU928" s="109"/>
    </row>
    <row r="929" spans="1:47" ht="14.25" customHeight="1" x14ac:dyDescent="0.3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09"/>
      <c r="AG929" s="109"/>
      <c r="AH929" s="109"/>
      <c r="AI929" s="109"/>
      <c r="AJ929" s="109"/>
      <c r="AK929" s="109"/>
      <c r="AL929" s="109"/>
      <c r="AM929" s="109"/>
      <c r="AN929" s="109"/>
      <c r="AO929" s="109"/>
      <c r="AP929" s="109"/>
      <c r="AQ929" s="109"/>
      <c r="AR929" s="109"/>
      <c r="AS929" s="109"/>
      <c r="AT929" s="109"/>
      <c r="AU929" s="109"/>
    </row>
    <row r="930" spans="1:47" ht="14.25" customHeight="1" x14ac:dyDescent="0.3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09"/>
      <c r="AG930" s="109"/>
      <c r="AH930" s="109"/>
      <c r="AI930" s="109"/>
      <c r="AJ930" s="109"/>
      <c r="AK930" s="109"/>
      <c r="AL930" s="109"/>
      <c r="AM930" s="109"/>
      <c r="AN930" s="109"/>
      <c r="AO930" s="109"/>
      <c r="AP930" s="109"/>
      <c r="AQ930" s="109"/>
      <c r="AR930" s="109"/>
      <c r="AS930" s="109"/>
      <c r="AT930" s="109"/>
      <c r="AU930" s="109"/>
    </row>
    <row r="931" spans="1:47" ht="14.25" customHeight="1" x14ac:dyDescent="0.3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/>
      <c r="AL931" s="109"/>
      <c r="AM931" s="109"/>
      <c r="AN931" s="109"/>
      <c r="AO931" s="109"/>
      <c r="AP931" s="109"/>
      <c r="AQ931" s="109"/>
      <c r="AR931" s="109"/>
      <c r="AS931" s="109"/>
      <c r="AT931" s="109"/>
      <c r="AU931" s="109"/>
    </row>
    <row r="932" spans="1:47" ht="14.25" customHeight="1" x14ac:dyDescent="0.3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09"/>
      <c r="AG932" s="109"/>
      <c r="AH932" s="109"/>
      <c r="AI932" s="109"/>
      <c r="AJ932" s="109"/>
      <c r="AK932" s="109"/>
      <c r="AL932" s="109"/>
      <c r="AM932" s="109"/>
      <c r="AN932" s="109"/>
      <c r="AO932" s="109"/>
      <c r="AP932" s="109"/>
      <c r="AQ932" s="109"/>
      <c r="AR932" s="109"/>
      <c r="AS932" s="109"/>
      <c r="AT932" s="109"/>
      <c r="AU932" s="109"/>
    </row>
    <row r="933" spans="1:47" ht="14.25" customHeight="1" x14ac:dyDescent="0.3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09"/>
      <c r="AG933" s="109"/>
      <c r="AH933" s="109"/>
      <c r="AI933" s="109"/>
      <c r="AJ933" s="109"/>
      <c r="AK933" s="109"/>
      <c r="AL933" s="109"/>
      <c r="AM933" s="109"/>
      <c r="AN933" s="109"/>
      <c r="AO933" s="109"/>
      <c r="AP933" s="109"/>
      <c r="AQ933" s="109"/>
      <c r="AR933" s="109"/>
      <c r="AS933" s="109"/>
      <c r="AT933" s="109"/>
      <c r="AU933" s="109"/>
    </row>
    <row r="934" spans="1:47" ht="14.25" customHeight="1" x14ac:dyDescent="0.3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09"/>
      <c r="AG934" s="109"/>
      <c r="AH934" s="109"/>
      <c r="AI934" s="109"/>
      <c r="AJ934" s="109"/>
      <c r="AK934" s="109"/>
      <c r="AL934" s="109"/>
      <c r="AM934" s="109"/>
      <c r="AN934" s="109"/>
      <c r="AO934" s="109"/>
      <c r="AP934" s="109"/>
      <c r="AQ934" s="109"/>
      <c r="AR934" s="109"/>
      <c r="AS934" s="109"/>
      <c r="AT934" s="109"/>
      <c r="AU934" s="109"/>
    </row>
    <row r="935" spans="1:47" ht="14.25" customHeight="1" x14ac:dyDescent="0.3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/>
      <c r="AL935" s="109"/>
      <c r="AM935" s="109"/>
      <c r="AN935" s="109"/>
      <c r="AO935" s="109"/>
      <c r="AP935" s="109"/>
      <c r="AQ935" s="109"/>
      <c r="AR935" s="109"/>
      <c r="AS935" s="109"/>
      <c r="AT935" s="109"/>
      <c r="AU935" s="109"/>
    </row>
    <row r="936" spans="1:47" ht="14.25" customHeight="1" x14ac:dyDescent="0.3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09"/>
      <c r="AG936" s="109"/>
      <c r="AH936" s="109"/>
      <c r="AI936" s="109"/>
      <c r="AJ936" s="109"/>
      <c r="AK936" s="109"/>
      <c r="AL936" s="109"/>
      <c r="AM936" s="109"/>
      <c r="AN936" s="109"/>
      <c r="AO936" s="109"/>
      <c r="AP936" s="109"/>
      <c r="AQ936" s="109"/>
      <c r="AR936" s="109"/>
      <c r="AS936" s="109"/>
      <c r="AT936" s="109"/>
      <c r="AU936" s="109"/>
    </row>
    <row r="937" spans="1:47" ht="14.25" customHeight="1" x14ac:dyDescent="0.3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09"/>
      <c r="AG937" s="109"/>
      <c r="AH937" s="109"/>
      <c r="AI937" s="109"/>
      <c r="AJ937" s="109"/>
      <c r="AK937" s="109"/>
      <c r="AL937" s="109"/>
      <c r="AM937" s="109"/>
      <c r="AN937" s="109"/>
      <c r="AO937" s="109"/>
      <c r="AP937" s="109"/>
      <c r="AQ937" s="109"/>
      <c r="AR937" s="109"/>
      <c r="AS937" s="109"/>
      <c r="AT937" s="109"/>
      <c r="AU937" s="109"/>
    </row>
    <row r="938" spans="1:47" ht="14.25" customHeight="1" x14ac:dyDescent="0.3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09"/>
      <c r="AG938" s="109"/>
      <c r="AH938" s="109"/>
      <c r="AI938" s="109"/>
      <c r="AJ938" s="109"/>
      <c r="AK938" s="109"/>
      <c r="AL938" s="109"/>
      <c r="AM938" s="109"/>
      <c r="AN938" s="109"/>
      <c r="AO938" s="109"/>
      <c r="AP938" s="109"/>
      <c r="AQ938" s="109"/>
      <c r="AR938" s="109"/>
      <c r="AS938" s="109"/>
      <c r="AT938" s="109"/>
      <c r="AU938" s="109"/>
    </row>
    <row r="939" spans="1:47" ht="14.25" customHeight="1" x14ac:dyDescent="0.3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  <c r="AD939" s="109"/>
      <c r="AE939" s="109"/>
      <c r="AF939" s="109"/>
      <c r="AG939" s="109"/>
      <c r="AH939" s="109"/>
      <c r="AI939" s="109"/>
      <c r="AJ939" s="109"/>
      <c r="AK939" s="109"/>
      <c r="AL939" s="109"/>
      <c r="AM939" s="109"/>
      <c r="AN939" s="109"/>
      <c r="AO939" s="109"/>
      <c r="AP939" s="109"/>
      <c r="AQ939" s="109"/>
      <c r="AR939" s="109"/>
      <c r="AS939" s="109"/>
      <c r="AT939" s="109"/>
      <c r="AU939" s="109"/>
    </row>
    <row r="940" spans="1:47" ht="14.25" customHeight="1" x14ac:dyDescent="0.3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09"/>
      <c r="AG940" s="109"/>
      <c r="AH940" s="109"/>
      <c r="AI940" s="109"/>
      <c r="AJ940" s="109"/>
      <c r="AK940" s="109"/>
      <c r="AL940" s="109"/>
      <c r="AM940" s="109"/>
      <c r="AN940" s="109"/>
      <c r="AO940" s="109"/>
      <c r="AP940" s="109"/>
      <c r="AQ940" s="109"/>
      <c r="AR940" s="109"/>
      <c r="AS940" s="109"/>
      <c r="AT940" s="109"/>
      <c r="AU940" s="109"/>
    </row>
    <row r="941" spans="1:47" ht="14.25" customHeight="1" x14ac:dyDescent="0.3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09"/>
      <c r="AG941" s="109"/>
      <c r="AH941" s="109"/>
      <c r="AI941" s="109"/>
      <c r="AJ941" s="109"/>
      <c r="AK941" s="109"/>
      <c r="AL941" s="109"/>
      <c r="AM941" s="109"/>
      <c r="AN941" s="109"/>
      <c r="AO941" s="109"/>
      <c r="AP941" s="109"/>
      <c r="AQ941" s="109"/>
      <c r="AR941" s="109"/>
      <c r="AS941" s="109"/>
      <c r="AT941" s="109"/>
      <c r="AU941" s="109"/>
    </row>
    <row r="942" spans="1:47" ht="14.25" customHeight="1" x14ac:dyDescent="0.3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  <c r="AD942" s="109"/>
      <c r="AE942" s="109"/>
      <c r="AF942" s="109"/>
      <c r="AG942" s="109"/>
      <c r="AH942" s="109"/>
      <c r="AI942" s="109"/>
      <c r="AJ942" s="109"/>
      <c r="AK942" s="109"/>
      <c r="AL942" s="109"/>
      <c r="AM942" s="109"/>
      <c r="AN942" s="109"/>
      <c r="AO942" s="109"/>
      <c r="AP942" s="109"/>
      <c r="AQ942" s="109"/>
      <c r="AR942" s="109"/>
      <c r="AS942" s="109"/>
      <c r="AT942" s="109"/>
      <c r="AU942" s="109"/>
    </row>
    <row r="943" spans="1:47" ht="14.25" customHeight="1" x14ac:dyDescent="0.3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09"/>
      <c r="AG943" s="109"/>
      <c r="AH943" s="109"/>
      <c r="AI943" s="109"/>
      <c r="AJ943" s="109"/>
      <c r="AK943" s="109"/>
      <c r="AL943" s="109"/>
      <c r="AM943" s="109"/>
      <c r="AN943" s="109"/>
      <c r="AO943" s="109"/>
      <c r="AP943" s="109"/>
      <c r="AQ943" s="109"/>
      <c r="AR943" s="109"/>
      <c r="AS943" s="109"/>
      <c r="AT943" s="109"/>
      <c r="AU943" s="109"/>
    </row>
    <row r="944" spans="1:47" ht="14.25" customHeight="1" x14ac:dyDescent="0.3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09"/>
      <c r="AG944" s="109"/>
      <c r="AH944" s="109"/>
      <c r="AI944" s="109"/>
      <c r="AJ944" s="109"/>
      <c r="AK944" s="109"/>
      <c r="AL944" s="109"/>
      <c r="AM944" s="109"/>
      <c r="AN944" s="109"/>
      <c r="AO944" s="109"/>
      <c r="AP944" s="109"/>
      <c r="AQ944" s="109"/>
      <c r="AR944" s="109"/>
      <c r="AS944" s="109"/>
      <c r="AT944" s="109"/>
      <c r="AU944" s="109"/>
    </row>
    <row r="945" spans="1:47" ht="14.25" customHeight="1" x14ac:dyDescent="0.3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09"/>
      <c r="AG945" s="109"/>
      <c r="AH945" s="109"/>
      <c r="AI945" s="109"/>
      <c r="AJ945" s="109"/>
      <c r="AK945" s="109"/>
      <c r="AL945" s="109"/>
      <c r="AM945" s="109"/>
      <c r="AN945" s="109"/>
      <c r="AO945" s="109"/>
      <c r="AP945" s="109"/>
      <c r="AQ945" s="109"/>
      <c r="AR945" s="109"/>
      <c r="AS945" s="109"/>
      <c r="AT945" s="109"/>
      <c r="AU945" s="109"/>
    </row>
    <row r="946" spans="1:47" ht="14.25" customHeight="1" x14ac:dyDescent="0.3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09"/>
      <c r="AG946" s="109"/>
      <c r="AH946" s="109"/>
      <c r="AI946" s="109"/>
      <c r="AJ946" s="109"/>
      <c r="AK946" s="109"/>
      <c r="AL946" s="109"/>
      <c r="AM946" s="109"/>
      <c r="AN946" s="109"/>
      <c r="AO946" s="109"/>
      <c r="AP946" s="109"/>
      <c r="AQ946" s="109"/>
      <c r="AR946" s="109"/>
      <c r="AS946" s="109"/>
      <c r="AT946" s="109"/>
      <c r="AU946" s="109"/>
    </row>
    <row r="947" spans="1:47" ht="14.25" customHeight="1" x14ac:dyDescent="0.3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  <c r="AD947" s="109"/>
      <c r="AE947" s="109"/>
      <c r="AF947" s="109"/>
      <c r="AG947" s="109"/>
      <c r="AH947" s="109"/>
      <c r="AI947" s="109"/>
      <c r="AJ947" s="109"/>
      <c r="AK947" s="109"/>
      <c r="AL947" s="109"/>
      <c r="AM947" s="109"/>
      <c r="AN947" s="109"/>
      <c r="AO947" s="109"/>
      <c r="AP947" s="109"/>
      <c r="AQ947" s="109"/>
      <c r="AR947" s="109"/>
      <c r="AS947" s="109"/>
      <c r="AT947" s="109"/>
      <c r="AU947" s="109"/>
    </row>
    <row r="948" spans="1:47" ht="14.25" customHeight="1" x14ac:dyDescent="0.3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  <c r="AD948" s="109"/>
      <c r="AE948" s="109"/>
      <c r="AF948" s="109"/>
      <c r="AG948" s="109"/>
      <c r="AH948" s="109"/>
      <c r="AI948" s="109"/>
      <c r="AJ948" s="109"/>
      <c r="AK948" s="109"/>
      <c r="AL948" s="109"/>
      <c r="AM948" s="109"/>
      <c r="AN948" s="109"/>
      <c r="AO948" s="109"/>
      <c r="AP948" s="109"/>
      <c r="AQ948" s="109"/>
      <c r="AR948" s="109"/>
      <c r="AS948" s="109"/>
      <c r="AT948" s="109"/>
      <c r="AU948" s="109"/>
    </row>
    <row r="949" spans="1:47" ht="14.25" customHeight="1" x14ac:dyDescent="0.3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  <c r="AD949" s="109"/>
      <c r="AE949" s="109"/>
      <c r="AF949" s="109"/>
      <c r="AG949" s="109"/>
      <c r="AH949" s="109"/>
      <c r="AI949" s="109"/>
      <c r="AJ949" s="109"/>
      <c r="AK949" s="109"/>
      <c r="AL949" s="109"/>
      <c r="AM949" s="109"/>
      <c r="AN949" s="109"/>
      <c r="AO949" s="109"/>
      <c r="AP949" s="109"/>
      <c r="AQ949" s="109"/>
      <c r="AR949" s="109"/>
      <c r="AS949" s="109"/>
      <c r="AT949" s="109"/>
      <c r="AU949" s="109"/>
    </row>
    <row r="950" spans="1:47" ht="14.25" customHeight="1" x14ac:dyDescent="0.3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  <c r="AD950" s="109"/>
      <c r="AE950" s="109"/>
      <c r="AF950" s="109"/>
      <c r="AG950" s="109"/>
      <c r="AH950" s="109"/>
      <c r="AI950" s="109"/>
      <c r="AJ950" s="109"/>
      <c r="AK950" s="109"/>
      <c r="AL950" s="109"/>
      <c r="AM950" s="109"/>
      <c r="AN950" s="109"/>
      <c r="AO950" s="109"/>
      <c r="AP950" s="109"/>
      <c r="AQ950" s="109"/>
      <c r="AR950" s="109"/>
      <c r="AS950" s="109"/>
      <c r="AT950" s="109"/>
      <c r="AU950" s="109"/>
    </row>
    <row r="951" spans="1:47" ht="14.25" customHeight="1" x14ac:dyDescent="0.3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  <c r="AA951" s="109"/>
      <c r="AB951" s="109"/>
      <c r="AC951" s="109"/>
      <c r="AD951" s="109"/>
      <c r="AE951" s="109"/>
      <c r="AF951" s="109"/>
      <c r="AG951" s="109"/>
      <c r="AH951" s="109"/>
      <c r="AI951" s="109"/>
      <c r="AJ951" s="109"/>
      <c r="AK951" s="109"/>
      <c r="AL951" s="109"/>
      <c r="AM951" s="109"/>
      <c r="AN951" s="109"/>
      <c r="AO951" s="109"/>
      <c r="AP951" s="109"/>
      <c r="AQ951" s="109"/>
      <c r="AR951" s="109"/>
      <c r="AS951" s="109"/>
      <c r="AT951" s="109"/>
      <c r="AU951" s="109"/>
    </row>
    <row r="952" spans="1:47" ht="14.25" customHeight="1" x14ac:dyDescent="0.3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  <c r="AB952" s="109"/>
      <c r="AC952" s="109"/>
      <c r="AD952" s="109"/>
      <c r="AE952" s="109"/>
      <c r="AF952" s="109"/>
      <c r="AG952" s="109"/>
      <c r="AH952" s="109"/>
      <c r="AI952" s="109"/>
      <c r="AJ952" s="109"/>
      <c r="AK952" s="109"/>
      <c r="AL952" s="109"/>
      <c r="AM952" s="109"/>
      <c r="AN952" s="109"/>
      <c r="AO952" s="109"/>
      <c r="AP952" s="109"/>
      <c r="AQ952" s="109"/>
      <c r="AR952" s="109"/>
      <c r="AS952" s="109"/>
      <c r="AT952" s="109"/>
      <c r="AU952" s="109"/>
    </row>
    <row r="953" spans="1:47" ht="14.25" customHeight="1" x14ac:dyDescent="0.3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  <c r="AD953" s="109"/>
      <c r="AE953" s="109"/>
      <c r="AF953" s="109"/>
      <c r="AG953" s="109"/>
      <c r="AH953" s="109"/>
      <c r="AI953" s="109"/>
      <c r="AJ953" s="109"/>
      <c r="AK953" s="109"/>
      <c r="AL953" s="109"/>
      <c r="AM953" s="109"/>
      <c r="AN953" s="109"/>
      <c r="AO953" s="109"/>
      <c r="AP953" s="109"/>
      <c r="AQ953" s="109"/>
      <c r="AR953" s="109"/>
      <c r="AS953" s="109"/>
      <c r="AT953" s="109"/>
      <c r="AU953" s="109"/>
    </row>
    <row r="954" spans="1:47" ht="14.25" customHeight="1" x14ac:dyDescent="0.3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  <c r="AD954" s="109"/>
      <c r="AE954" s="109"/>
      <c r="AF954" s="109"/>
      <c r="AG954" s="109"/>
      <c r="AH954" s="109"/>
      <c r="AI954" s="109"/>
      <c r="AJ954" s="109"/>
      <c r="AK954" s="109"/>
      <c r="AL954" s="109"/>
      <c r="AM954" s="109"/>
      <c r="AN954" s="109"/>
      <c r="AO954" s="109"/>
      <c r="AP954" s="109"/>
      <c r="AQ954" s="109"/>
      <c r="AR954" s="109"/>
      <c r="AS954" s="109"/>
      <c r="AT954" s="109"/>
      <c r="AU954" s="109"/>
    </row>
    <row r="955" spans="1:47" ht="14.25" customHeight="1" x14ac:dyDescent="0.3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  <c r="AD955" s="109"/>
      <c r="AE955" s="109"/>
      <c r="AF955" s="109"/>
      <c r="AG955" s="109"/>
      <c r="AH955" s="109"/>
      <c r="AI955" s="109"/>
      <c r="AJ955" s="109"/>
      <c r="AK955" s="109"/>
      <c r="AL955" s="109"/>
      <c r="AM955" s="109"/>
      <c r="AN955" s="109"/>
      <c r="AO955" s="109"/>
      <c r="AP955" s="109"/>
      <c r="AQ955" s="109"/>
      <c r="AR955" s="109"/>
      <c r="AS955" s="109"/>
      <c r="AT955" s="109"/>
      <c r="AU955" s="109"/>
    </row>
    <row r="956" spans="1:47" ht="14.25" customHeight="1" x14ac:dyDescent="0.3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  <c r="AD956" s="109"/>
      <c r="AE956" s="109"/>
      <c r="AF956" s="109"/>
      <c r="AG956" s="109"/>
      <c r="AH956" s="109"/>
      <c r="AI956" s="109"/>
      <c r="AJ956" s="109"/>
      <c r="AK956" s="109"/>
      <c r="AL956" s="109"/>
      <c r="AM956" s="109"/>
      <c r="AN956" s="109"/>
      <c r="AO956" s="109"/>
      <c r="AP956" s="109"/>
      <c r="AQ956" s="109"/>
      <c r="AR956" s="109"/>
      <c r="AS956" s="109"/>
      <c r="AT956" s="109"/>
      <c r="AU956" s="109"/>
    </row>
    <row r="957" spans="1:47" ht="14.25" customHeight="1" x14ac:dyDescent="0.3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  <c r="AD957" s="109"/>
      <c r="AE957" s="109"/>
      <c r="AF957" s="109"/>
      <c r="AG957" s="109"/>
      <c r="AH957" s="109"/>
      <c r="AI957" s="109"/>
      <c r="AJ957" s="109"/>
      <c r="AK957" s="109"/>
      <c r="AL957" s="109"/>
      <c r="AM957" s="109"/>
      <c r="AN957" s="109"/>
      <c r="AO957" s="109"/>
      <c r="AP957" s="109"/>
      <c r="AQ957" s="109"/>
      <c r="AR957" s="109"/>
      <c r="AS957" s="109"/>
      <c r="AT957" s="109"/>
      <c r="AU957" s="109"/>
    </row>
    <row r="958" spans="1:47" ht="14.25" customHeight="1" x14ac:dyDescent="0.3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09"/>
      <c r="AC958" s="109"/>
      <c r="AD958" s="109"/>
      <c r="AE958" s="109"/>
      <c r="AF958" s="109"/>
      <c r="AG958" s="109"/>
      <c r="AH958" s="109"/>
      <c r="AI958" s="109"/>
      <c r="AJ958" s="109"/>
      <c r="AK958" s="109"/>
      <c r="AL958" s="109"/>
      <c r="AM958" s="109"/>
      <c r="AN958" s="109"/>
      <c r="AO958" s="109"/>
      <c r="AP958" s="109"/>
      <c r="AQ958" s="109"/>
      <c r="AR958" s="109"/>
      <c r="AS958" s="109"/>
      <c r="AT958" s="109"/>
      <c r="AU958" s="109"/>
    </row>
    <row r="959" spans="1:47" ht="14.25" customHeight="1" x14ac:dyDescent="0.3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  <c r="AD959" s="109"/>
      <c r="AE959" s="109"/>
      <c r="AF959" s="109"/>
      <c r="AG959" s="109"/>
      <c r="AH959" s="109"/>
      <c r="AI959" s="109"/>
      <c r="AJ959" s="109"/>
      <c r="AK959" s="109"/>
      <c r="AL959" s="109"/>
      <c r="AM959" s="109"/>
      <c r="AN959" s="109"/>
      <c r="AO959" s="109"/>
      <c r="AP959" s="109"/>
      <c r="AQ959" s="109"/>
      <c r="AR959" s="109"/>
      <c r="AS959" s="109"/>
      <c r="AT959" s="109"/>
      <c r="AU959" s="109"/>
    </row>
    <row r="960" spans="1:47" ht="14.25" customHeight="1" x14ac:dyDescent="0.3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  <c r="AD960" s="109"/>
      <c r="AE960" s="109"/>
      <c r="AF960" s="109"/>
      <c r="AG960" s="109"/>
      <c r="AH960" s="109"/>
      <c r="AI960" s="109"/>
      <c r="AJ960" s="109"/>
      <c r="AK960" s="109"/>
      <c r="AL960" s="109"/>
      <c r="AM960" s="109"/>
      <c r="AN960" s="109"/>
      <c r="AO960" s="109"/>
      <c r="AP960" s="109"/>
      <c r="AQ960" s="109"/>
      <c r="AR960" s="109"/>
      <c r="AS960" s="109"/>
      <c r="AT960" s="109"/>
      <c r="AU960" s="109"/>
    </row>
    <row r="961" spans="1:47" ht="14.25" customHeight="1" x14ac:dyDescent="0.3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  <c r="AD961" s="109"/>
      <c r="AE961" s="109"/>
      <c r="AF961" s="109"/>
      <c r="AG961" s="109"/>
      <c r="AH961" s="109"/>
      <c r="AI961" s="109"/>
      <c r="AJ961" s="109"/>
      <c r="AK961" s="109"/>
      <c r="AL961" s="109"/>
      <c r="AM961" s="109"/>
      <c r="AN961" s="109"/>
      <c r="AO961" s="109"/>
      <c r="AP961" s="109"/>
      <c r="AQ961" s="109"/>
      <c r="AR961" s="109"/>
      <c r="AS961" s="109"/>
      <c r="AT961" s="109"/>
      <c r="AU961" s="109"/>
    </row>
    <row r="962" spans="1:47" ht="14.25" customHeight="1" x14ac:dyDescent="0.3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  <c r="AD962" s="109"/>
      <c r="AE962" s="109"/>
      <c r="AF962" s="109"/>
      <c r="AG962" s="109"/>
      <c r="AH962" s="109"/>
      <c r="AI962" s="109"/>
      <c r="AJ962" s="109"/>
      <c r="AK962" s="109"/>
      <c r="AL962" s="109"/>
      <c r="AM962" s="109"/>
      <c r="AN962" s="109"/>
      <c r="AO962" s="109"/>
      <c r="AP962" s="109"/>
      <c r="AQ962" s="109"/>
      <c r="AR962" s="109"/>
      <c r="AS962" s="109"/>
      <c r="AT962" s="109"/>
      <c r="AU962" s="109"/>
    </row>
    <row r="963" spans="1:47" ht="14.25" customHeight="1" x14ac:dyDescent="0.3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  <c r="AD963" s="109"/>
      <c r="AE963" s="109"/>
      <c r="AF963" s="109"/>
      <c r="AG963" s="109"/>
      <c r="AH963" s="109"/>
      <c r="AI963" s="109"/>
      <c r="AJ963" s="109"/>
      <c r="AK963" s="109"/>
      <c r="AL963" s="109"/>
      <c r="AM963" s="109"/>
      <c r="AN963" s="109"/>
      <c r="AO963" s="109"/>
      <c r="AP963" s="109"/>
      <c r="AQ963" s="109"/>
      <c r="AR963" s="109"/>
      <c r="AS963" s="109"/>
      <c r="AT963" s="109"/>
      <c r="AU963" s="109"/>
    </row>
    <row r="964" spans="1:47" ht="14.25" customHeight="1" x14ac:dyDescent="0.3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  <c r="AD964" s="109"/>
      <c r="AE964" s="109"/>
      <c r="AF964" s="109"/>
      <c r="AG964" s="109"/>
      <c r="AH964" s="109"/>
      <c r="AI964" s="109"/>
      <c r="AJ964" s="109"/>
      <c r="AK964" s="109"/>
      <c r="AL964" s="109"/>
      <c r="AM964" s="109"/>
      <c r="AN964" s="109"/>
      <c r="AO964" s="109"/>
      <c r="AP964" s="109"/>
      <c r="AQ964" s="109"/>
      <c r="AR964" s="109"/>
      <c r="AS964" s="109"/>
      <c r="AT964" s="109"/>
      <c r="AU964" s="109"/>
    </row>
    <row r="965" spans="1:47" ht="14.25" customHeight="1" x14ac:dyDescent="0.3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  <c r="AD965" s="109"/>
      <c r="AE965" s="109"/>
      <c r="AF965" s="109"/>
      <c r="AG965" s="109"/>
      <c r="AH965" s="109"/>
      <c r="AI965" s="109"/>
      <c r="AJ965" s="109"/>
      <c r="AK965" s="109"/>
      <c r="AL965" s="109"/>
      <c r="AM965" s="109"/>
      <c r="AN965" s="109"/>
      <c r="AO965" s="109"/>
      <c r="AP965" s="109"/>
      <c r="AQ965" s="109"/>
      <c r="AR965" s="109"/>
      <c r="AS965" s="109"/>
      <c r="AT965" s="109"/>
      <c r="AU965" s="109"/>
    </row>
    <row r="966" spans="1:47" ht="14.25" customHeight="1" x14ac:dyDescent="0.3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  <c r="AD966" s="109"/>
      <c r="AE966" s="109"/>
      <c r="AF966" s="109"/>
      <c r="AG966" s="109"/>
      <c r="AH966" s="109"/>
      <c r="AI966" s="109"/>
      <c r="AJ966" s="109"/>
      <c r="AK966" s="109"/>
      <c r="AL966" s="109"/>
      <c r="AM966" s="109"/>
      <c r="AN966" s="109"/>
      <c r="AO966" s="109"/>
      <c r="AP966" s="109"/>
      <c r="AQ966" s="109"/>
      <c r="AR966" s="109"/>
      <c r="AS966" s="109"/>
      <c r="AT966" s="109"/>
      <c r="AU966" s="109"/>
    </row>
    <row r="967" spans="1:47" ht="14.25" customHeight="1" x14ac:dyDescent="0.3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  <c r="AD967" s="109"/>
      <c r="AE967" s="109"/>
      <c r="AF967" s="109"/>
      <c r="AG967" s="109"/>
      <c r="AH967" s="109"/>
      <c r="AI967" s="109"/>
      <c r="AJ967" s="109"/>
      <c r="AK967" s="109"/>
      <c r="AL967" s="109"/>
      <c r="AM967" s="109"/>
      <c r="AN967" s="109"/>
      <c r="AO967" s="109"/>
      <c r="AP967" s="109"/>
      <c r="AQ967" s="109"/>
      <c r="AR967" s="109"/>
      <c r="AS967" s="109"/>
      <c r="AT967" s="109"/>
      <c r="AU967" s="109"/>
    </row>
    <row r="968" spans="1:47" ht="14.25" customHeight="1" x14ac:dyDescent="0.3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  <c r="AD968" s="109"/>
      <c r="AE968" s="109"/>
      <c r="AF968" s="109"/>
      <c r="AG968" s="109"/>
      <c r="AH968" s="109"/>
      <c r="AI968" s="109"/>
      <c r="AJ968" s="109"/>
      <c r="AK968" s="109"/>
      <c r="AL968" s="109"/>
      <c r="AM968" s="109"/>
      <c r="AN968" s="109"/>
      <c r="AO968" s="109"/>
      <c r="AP968" s="109"/>
      <c r="AQ968" s="109"/>
      <c r="AR968" s="109"/>
      <c r="AS968" s="109"/>
      <c r="AT968" s="109"/>
      <c r="AU968" s="109"/>
    </row>
    <row r="969" spans="1:47" ht="14.25" customHeight="1" x14ac:dyDescent="0.3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09"/>
      <c r="AC969" s="109"/>
      <c r="AD969" s="109"/>
      <c r="AE969" s="109"/>
      <c r="AF969" s="109"/>
      <c r="AG969" s="109"/>
      <c r="AH969" s="109"/>
      <c r="AI969" s="109"/>
      <c r="AJ969" s="109"/>
      <c r="AK969" s="109"/>
      <c r="AL969" s="109"/>
      <c r="AM969" s="109"/>
      <c r="AN969" s="109"/>
      <c r="AO969" s="109"/>
      <c r="AP969" s="109"/>
      <c r="AQ969" s="109"/>
      <c r="AR969" s="109"/>
      <c r="AS969" s="109"/>
      <c r="AT969" s="109"/>
      <c r="AU969" s="109"/>
    </row>
    <row r="970" spans="1:47" ht="14.25" customHeight="1" x14ac:dyDescent="0.3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  <c r="AD970" s="109"/>
      <c r="AE970" s="109"/>
      <c r="AF970" s="109"/>
      <c r="AG970" s="109"/>
      <c r="AH970" s="109"/>
      <c r="AI970" s="109"/>
      <c r="AJ970" s="109"/>
      <c r="AK970" s="109"/>
      <c r="AL970" s="109"/>
      <c r="AM970" s="109"/>
      <c r="AN970" s="109"/>
      <c r="AO970" s="109"/>
      <c r="AP970" s="109"/>
      <c r="AQ970" s="109"/>
      <c r="AR970" s="109"/>
      <c r="AS970" s="109"/>
      <c r="AT970" s="109"/>
      <c r="AU970" s="109"/>
    </row>
    <row r="971" spans="1:47" ht="14.25" customHeight="1" x14ac:dyDescent="0.3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  <c r="AD971" s="109"/>
      <c r="AE971" s="109"/>
      <c r="AF971" s="109"/>
      <c r="AG971" s="109"/>
      <c r="AH971" s="109"/>
      <c r="AI971" s="109"/>
      <c r="AJ971" s="109"/>
      <c r="AK971" s="109"/>
      <c r="AL971" s="109"/>
      <c r="AM971" s="109"/>
      <c r="AN971" s="109"/>
      <c r="AO971" s="109"/>
      <c r="AP971" s="109"/>
      <c r="AQ971" s="109"/>
      <c r="AR971" s="109"/>
      <c r="AS971" s="109"/>
      <c r="AT971" s="109"/>
      <c r="AU971" s="109"/>
    </row>
    <row r="972" spans="1:47" ht="14.25" customHeight="1" x14ac:dyDescent="0.3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  <c r="AD972" s="109"/>
      <c r="AE972" s="109"/>
      <c r="AF972" s="109"/>
      <c r="AG972" s="109"/>
      <c r="AH972" s="109"/>
      <c r="AI972" s="109"/>
      <c r="AJ972" s="109"/>
      <c r="AK972" s="109"/>
      <c r="AL972" s="109"/>
      <c r="AM972" s="109"/>
      <c r="AN972" s="109"/>
      <c r="AO972" s="109"/>
      <c r="AP972" s="109"/>
      <c r="AQ972" s="109"/>
      <c r="AR972" s="109"/>
      <c r="AS972" s="109"/>
      <c r="AT972" s="109"/>
      <c r="AU972" s="109"/>
    </row>
    <row r="973" spans="1:47" ht="14.25" customHeight="1" x14ac:dyDescent="0.3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  <c r="AD973" s="109"/>
      <c r="AE973" s="109"/>
      <c r="AF973" s="109"/>
      <c r="AG973" s="109"/>
      <c r="AH973" s="109"/>
      <c r="AI973" s="109"/>
      <c r="AJ973" s="109"/>
      <c r="AK973" s="109"/>
      <c r="AL973" s="109"/>
      <c r="AM973" s="109"/>
      <c r="AN973" s="109"/>
      <c r="AO973" s="109"/>
      <c r="AP973" s="109"/>
      <c r="AQ973" s="109"/>
      <c r="AR973" s="109"/>
      <c r="AS973" s="109"/>
      <c r="AT973" s="109"/>
      <c r="AU973" s="109"/>
    </row>
    <row r="974" spans="1:47" ht="14.25" customHeight="1" x14ac:dyDescent="0.3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  <c r="AD974" s="109"/>
      <c r="AE974" s="109"/>
      <c r="AF974" s="109"/>
      <c r="AG974" s="109"/>
      <c r="AH974" s="109"/>
      <c r="AI974" s="109"/>
      <c r="AJ974" s="109"/>
      <c r="AK974" s="109"/>
      <c r="AL974" s="109"/>
      <c r="AM974" s="109"/>
      <c r="AN974" s="109"/>
      <c r="AO974" s="109"/>
      <c r="AP974" s="109"/>
      <c r="AQ974" s="109"/>
      <c r="AR974" s="109"/>
      <c r="AS974" s="109"/>
      <c r="AT974" s="109"/>
      <c r="AU974" s="109"/>
    </row>
    <row r="975" spans="1:47" ht="14.25" customHeight="1" x14ac:dyDescent="0.3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  <c r="AD975" s="109"/>
      <c r="AE975" s="109"/>
      <c r="AF975" s="109"/>
      <c r="AG975" s="109"/>
      <c r="AH975" s="109"/>
      <c r="AI975" s="109"/>
      <c r="AJ975" s="109"/>
      <c r="AK975" s="109"/>
      <c r="AL975" s="109"/>
      <c r="AM975" s="109"/>
      <c r="AN975" s="109"/>
      <c r="AO975" s="109"/>
      <c r="AP975" s="109"/>
      <c r="AQ975" s="109"/>
      <c r="AR975" s="109"/>
      <c r="AS975" s="109"/>
      <c r="AT975" s="109"/>
      <c r="AU975" s="109"/>
    </row>
    <row r="976" spans="1:47" ht="14.25" customHeight="1" x14ac:dyDescent="0.3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  <c r="AD976" s="109"/>
      <c r="AE976" s="109"/>
      <c r="AF976" s="109"/>
      <c r="AG976" s="109"/>
      <c r="AH976" s="109"/>
      <c r="AI976" s="109"/>
      <c r="AJ976" s="109"/>
      <c r="AK976" s="109"/>
      <c r="AL976" s="109"/>
      <c r="AM976" s="109"/>
      <c r="AN976" s="109"/>
      <c r="AO976" s="109"/>
      <c r="AP976" s="109"/>
      <c r="AQ976" s="109"/>
      <c r="AR976" s="109"/>
      <c r="AS976" s="109"/>
      <c r="AT976" s="109"/>
      <c r="AU976" s="109"/>
    </row>
    <row r="977" spans="1:47" ht="14.25" customHeight="1" x14ac:dyDescent="0.3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  <c r="AD977" s="109"/>
      <c r="AE977" s="109"/>
      <c r="AF977" s="109"/>
      <c r="AG977" s="109"/>
      <c r="AH977" s="109"/>
      <c r="AI977" s="109"/>
      <c r="AJ977" s="109"/>
      <c r="AK977" s="109"/>
      <c r="AL977" s="109"/>
      <c r="AM977" s="109"/>
      <c r="AN977" s="109"/>
      <c r="AO977" s="109"/>
      <c r="AP977" s="109"/>
      <c r="AQ977" s="109"/>
      <c r="AR977" s="109"/>
      <c r="AS977" s="109"/>
      <c r="AT977" s="109"/>
      <c r="AU977" s="109"/>
    </row>
    <row r="978" spans="1:47" ht="14.25" customHeight="1" x14ac:dyDescent="0.3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  <c r="AD978" s="109"/>
      <c r="AE978" s="109"/>
      <c r="AF978" s="109"/>
      <c r="AG978" s="109"/>
      <c r="AH978" s="109"/>
      <c r="AI978" s="109"/>
      <c r="AJ978" s="109"/>
      <c r="AK978" s="109"/>
      <c r="AL978" s="109"/>
      <c r="AM978" s="109"/>
      <c r="AN978" s="109"/>
      <c r="AO978" s="109"/>
      <c r="AP978" s="109"/>
      <c r="AQ978" s="109"/>
      <c r="AR978" s="109"/>
      <c r="AS978" s="109"/>
      <c r="AT978" s="109"/>
      <c r="AU978" s="109"/>
    </row>
    <row r="979" spans="1:47" ht="14.25" customHeight="1" x14ac:dyDescent="0.3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/>
      <c r="AL979" s="109"/>
      <c r="AM979" s="109"/>
      <c r="AN979" s="109"/>
      <c r="AO979" s="109"/>
      <c r="AP979" s="109"/>
      <c r="AQ979" s="109"/>
      <c r="AR979" s="109"/>
      <c r="AS979" s="109"/>
      <c r="AT979" s="109"/>
      <c r="AU979" s="109"/>
    </row>
    <row r="980" spans="1:47" ht="14.25" customHeight="1" x14ac:dyDescent="0.3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  <c r="AD980" s="109"/>
      <c r="AE980" s="109"/>
      <c r="AF980" s="109"/>
      <c r="AG980" s="109"/>
      <c r="AH980" s="109"/>
      <c r="AI980" s="109"/>
      <c r="AJ980" s="109"/>
      <c r="AK980" s="109"/>
      <c r="AL980" s="109"/>
      <c r="AM980" s="109"/>
      <c r="AN980" s="109"/>
      <c r="AO980" s="109"/>
      <c r="AP980" s="109"/>
      <c r="AQ980" s="109"/>
      <c r="AR980" s="109"/>
      <c r="AS980" s="109"/>
      <c r="AT980" s="109"/>
      <c r="AU980" s="109"/>
    </row>
    <row r="981" spans="1:47" ht="14.25" customHeight="1" x14ac:dyDescent="0.3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  <c r="AD981" s="109"/>
      <c r="AE981" s="109"/>
      <c r="AF981" s="109"/>
      <c r="AG981" s="109"/>
      <c r="AH981" s="109"/>
      <c r="AI981" s="109"/>
      <c r="AJ981" s="109"/>
      <c r="AK981" s="109"/>
      <c r="AL981" s="109"/>
      <c r="AM981" s="109"/>
      <c r="AN981" s="109"/>
      <c r="AO981" s="109"/>
      <c r="AP981" s="109"/>
      <c r="AQ981" s="109"/>
      <c r="AR981" s="109"/>
      <c r="AS981" s="109"/>
      <c r="AT981" s="109"/>
      <c r="AU981" s="109"/>
    </row>
    <row r="982" spans="1:47" ht="14.25" customHeight="1" x14ac:dyDescent="0.3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  <c r="AD982" s="109"/>
      <c r="AE982" s="109"/>
      <c r="AF982" s="109"/>
      <c r="AG982" s="109"/>
      <c r="AH982" s="109"/>
      <c r="AI982" s="109"/>
      <c r="AJ982" s="109"/>
      <c r="AK982" s="109"/>
      <c r="AL982" s="109"/>
      <c r="AM982" s="109"/>
      <c r="AN982" s="109"/>
      <c r="AO982" s="109"/>
      <c r="AP982" s="109"/>
      <c r="AQ982" s="109"/>
      <c r="AR982" s="109"/>
      <c r="AS982" s="109"/>
      <c r="AT982" s="109"/>
      <c r="AU982" s="109"/>
    </row>
    <row r="983" spans="1:47" ht="14.25" customHeight="1" x14ac:dyDescent="0.3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  <c r="AD983" s="109"/>
      <c r="AE983" s="109"/>
      <c r="AF983" s="109"/>
      <c r="AG983" s="109"/>
      <c r="AH983" s="109"/>
      <c r="AI983" s="109"/>
      <c r="AJ983" s="109"/>
      <c r="AK983" s="109"/>
      <c r="AL983" s="109"/>
      <c r="AM983" s="109"/>
      <c r="AN983" s="109"/>
      <c r="AO983" s="109"/>
      <c r="AP983" s="109"/>
      <c r="AQ983" s="109"/>
      <c r="AR983" s="109"/>
      <c r="AS983" s="109"/>
      <c r="AT983" s="109"/>
      <c r="AU983" s="109"/>
    </row>
    <row r="984" spans="1:47" ht="14.25" customHeight="1" x14ac:dyDescent="0.3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  <c r="AD984" s="109"/>
      <c r="AE984" s="109"/>
      <c r="AF984" s="109"/>
      <c r="AG984" s="109"/>
      <c r="AH984" s="109"/>
      <c r="AI984" s="109"/>
      <c r="AJ984" s="109"/>
      <c r="AK984" s="109"/>
      <c r="AL984" s="109"/>
      <c r="AM984" s="109"/>
      <c r="AN984" s="109"/>
      <c r="AO984" s="109"/>
      <c r="AP984" s="109"/>
      <c r="AQ984" s="109"/>
      <c r="AR984" s="109"/>
      <c r="AS984" s="109"/>
      <c r="AT984" s="109"/>
      <c r="AU984" s="109"/>
    </row>
    <row r="985" spans="1:47" ht="14.25" customHeight="1" x14ac:dyDescent="0.3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  <c r="AD985" s="109"/>
      <c r="AE985" s="109"/>
      <c r="AF985" s="109"/>
      <c r="AG985" s="109"/>
      <c r="AH985" s="109"/>
      <c r="AI985" s="109"/>
      <c r="AJ985" s="109"/>
      <c r="AK985" s="109"/>
      <c r="AL985" s="109"/>
      <c r="AM985" s="109"/>
      <c r="AN985" s="109"/>
      <c r="AO985" s="109"/>
      <c r="AP985" s="109"/>
      <c r="AQ985" s="109"/>
      <c r="AR985" s="109"/>
      <c r="AS985" s="109"/>
      <c r="AT985" s="109"/>
      <c r="AU985" s="109"/>
    </row>
    <row r="986" spans="1:47" ht="14" x14ac:dyDescent="0.3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  <c r="AD986" s="109"/>
      <c r="AE986" s="109"/>
      <c r="AF986" s="109"/>
      <c r="AG986" s="109"/>
      <c r="AH986" s="109"/>
      <c r="AI986" s="109"/>
      <c r="AJ986" s="109"/>
      <c r="AK986" s="109"/>
      <c r="AL986" s="109"/>
      <c r="AM986" s="109"/>
      <c r="AN986" s="109"/>
      <c r="AO986" s="109"/>
      <c r="AP986" s="109"/>
      <c r="AQ986" s="109"/>
      <c r="AR986" s="109"/>
      <c r="AS986" s="109"/>
      <c r="AT986" s="109"/>
      <c r="AU986" s="109"/>
    </row>
    <row r="987" spans="1:47" ht="14" x14ac:dyDescent="0.3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  <c r="AD987" s="109"/>
      <c r="AE987" s="109"/>
      <c r="AF987" s="109"/>
      <c r="AG987" s="109"/>
      <c r="AH987" s="109"/>
      <c r="AI987" s="109"/>
      <c r="AJ987" s="109"/>
      <c r="AK987" s="109"/>
      <c r="AL987" s="109"/>
      <c r="AM987" s="109"/>
      <c r="AN987" s="109"/>
      <c r="AO987" s="109"/>
      <c r="AP987" s="109"/>
      <c r="AQ987" s="109"/>
      <c r="AR987" s="109"/>
      <c r="AS987" s="109"/>
      <c r="AT987" s="109"/>
      <c r="AU987" s="109"/>
    </row>
    <row r="988" spans="1:47" ht="14" x14ac:dyDescent="0.3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  <c r="AD988" s="109"/>
      <c r="AE988" s="109"/>
      <c r="AF988" s="109"/>
      <c r="AG988" s="109"/>
      <c r="AH988" s="109"/>
      <c r="AI988" s="109"/>
      <c r="AJ988" s="109"/>
      <c r="AK988" s="109"/>
      <c r="AL988" s="109"/>
      <c r="AM988" s="109"/>
      <c r="AN988" s="109"/>
      <c r="AO988" s="109"/>
      <c r="AP988" s="109"/>
      <c r="AQ988" s="109"/>
      <c r="AR988" s="109"/>
      <c r="AS988" s="109"/>
      <c r="AT988" s="109"/>
      <c r="AU988" s="109"/>
    </row>
    <row r="989" spans="1:47" ht="14" x14ac:dyDescent="0.3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  <c r="AD989" s="109"/>
      <c r="AE989" s="109"/>
      <c r="AF989" s="109"/>
      <c r="AG989" s="109"/>
      <c r="AH989" s="109"/>
      <c r="AI989" s="109"/>
      <c r="AJ989" s="109"/>
      <c r="AK989" s="109"/>
      <c r="AL989" s="109"/>
      <c r="AM989" s="109"/>
      <c r="AN989" s="109"/>
      <c r="AO989" s="109"/>
      <c r="AP989" s="109"/>
      <c r="AQ989" s="109"/>
      <c r="AR989" s="109"/>
      <c r="AS989" s="109"/>
      <c r="AT989" s="109"/>
      <c r="AU989" s="109"/>
    </row>
    <row r="990" spans="1:47" ht="14" x14ac:dyDescent="0.3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  <c r="AD990" s="110"/>
      <c r="AE990" s="110"/>
      <c r="AF990" s="110"/>
      <c r="AG990" s="110"/>
      <c r="AH990" s="110"/>
      <c r="AI990" s="110"/>
      <c r="AJ990" s="110"/>
      <c r="AK990" s="110"/>
      <c r="AL990" s="110"/>
      <c r="AM990" s="110"/>
      <c r="AN990" s="110"/>
      <c r="AO990" s="110"/>
      <c r="AP990" s="110"/>
      <c r="AQ990" s="110"/>
      <c r="AR990" s="110"/>
      <c r="AS990" s="110"/>
      <c r="AT990" s="110"/>
      <c r="AU990" s="110"/>
    </row>
  </sheetData>
  <mergeCells count="49">
    <mergeCell ref="Y2:Y3"/>
    <mergeCell ref="X2:X3"/>
    <mergeCell ref="Z2:Z3"/>
    <mergeCell ref="AA2:AA3"/>
    <mergeCell ref="AD2:AD3"/>
    <mergeCell ref="AU1:AU3"/>
    <mergeCell ref="AT2:AT3"/>
    <mergeCell ref="AS2:AS3"/>
    <mergeCell ref="AE2:AE3"/>
    <mergeCell ref="AF2:AF3"/>
    <mergeCell ref="AG2:AG3"/>
    <mergeCell ref="AH2:AH3"/>
    <mergeCell ref="AI2:AI3"/>
    <mergeCell ref="V1:AR1"/>
    <mergeCell ref="AJ2:AJ3"/>
    <mergeCell ref="AK2:AK3"/>
    <mergeCell ref="AL2:AL3"/>
    <mergeCell ref="AO2:AO3"/>
    <mergeCell ref="W2:W3"/>
    <mergeCell ref="AC2:AC3"/>
    <mergeCell ref="AB2:AB3"/>
    <mergeCell ref="AN2:AN3"/>
    <mergeCell ref="AM2:AM3"/>
    <mergeCell ref="AP2:AP3"/>
    <mergeCell ref="AQ2:AQ3"/>
    <mergeCell ref="AR2:AR3"/>
    <mergeCell ref="J2:J3"/>
    <mergeCell ref="V2:V3"/>
    <mergeCell ref="U2:U3"/>
    <mergeCell ref="T2:T3"/>
    <mergeCell ref="M2:M3"/>
    <mergeCell ref="L2:L3"/>
    <mergeCell ref="N2:N3"/>
    <mergeCell ref="G30:I30"/>
    <mergeCell ref="A1:A3"/>
    <mergeCell ref="B1:B3"/>
    <mergeCell ref="E2:E3"/>
    <mergeCell ref="C2:C3"/>
    <mergeCell ref="D2:D3"/>
    <mergeCell ref="C1:S1"/>
    <mergeCell ref="H2:H3"/>
    <mergeCell ref="K2:K3"/>
    <mergeCell ref="R2:S2"/>
    <mergeCell ref="Q2:Q3"/>
    <mergeCell ref="O2:O3"/>
    <mergeCell ref="P2:P3"/>
    <mergeCell ref="F2:F3"/>
    <mergeCell ref="G2:G3"/>
    <mergeCell ref="I2:I3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4A86E8"/>
  </sheetPr>
  <dimension ref="A1:AU990"/>
  <sheetViews>
    <sheetView topLeftCell="A20" workbookViewId="0">
      <selection activeCell="B31" sqref="B31"/>
    </sheetView>
  </sheetViews>
  <sheetFormatPr defaultColWidth="12.58203125" defaultRowHeight="15" customHeight="1" x14ac:dyDescent="0.3"/>
  <cols>
    <col min="1" max="1" width="4.75" customWidth="1"/>
    <col min="2" max="2" width="19.58203125" customWidth="1"/>
    <col min="3" max="3" width="10.83203125" customWidth="1"/>
    <col min="4" max="4" width="11.25" customWidth="1"/>
    <col min="5" max="5" width="8.83203125" customWidth="1"/>
    <col min="6" max="6" width="9.58203125" customWidth="1"/>
    <col min="7" max="7" width="14.5" customWidth="1"/>
    <col min="8" max="8" width="12.83203125" customWidth="1"/>
    <col min="9" max="9" width="9.75" customWidth="1"/>
    <col min="10" max="10" width="7.58203125" customWidth="1"/>
    <col min="11" max="11" width="10.08203125" customWidth="1"/>
    <col min="12" max="12" width="14" customWidth="1"/>
    <col min="13" max="13" width="7.58203125" customWidth="1"/>
    <col min="14" max="14" width="12.08203125" customWidth="1"/>
    <col min="15" max="15" width="7.58203125" customWidth="1"/>
    <col min="16" max="16" width="10.33203125" customWidth="1"/>
    <col min="17" max="17" width="12.58203125" customWidth="1"/>
    <col min="18" max="18" width="10.83203125" customWidth="1"/>
    <col min="19" max="19" width="7.58203125" customWidth="1"/>
    <col min="20" max="20" width="9.08203125" customWidth="1"/>
    <col min="21" max="21" width="13.58203125" customWidth="1"/>
    <col min="22" max="22" width="12.5" customWidth="1"/>
    <col min="23" max="23" width="11.08203125" customWidth="1"/>
    <col min="24" max="24" width="10.58203125" customWidth="1"/>
    <col min="25" max="25" width="10.75" customWidth="1"/>
    <col min="26" max="26" width="12.08203125" customWidth="1"/>
    <col min="27" max="27" width="13.5" customWidth="1"/>
    <col min="28" max="28" width="9.08203125" customWidth="1"/>
    <col min="29" max="29" width="7.58203125" customWidth="1"/>
    <col min="30" max="30" width="9.5" customWidth="1"/>
    <col min="31" max="31" width="12.33203125" customWidth="1"/>
    <col min="32" max="32" width="18.75" customWidth="1"/>
    <col min="33" max="33" width="10.33203125" customWidth="1"/>
    <col min="34" max="34" width="7.58203125" customWidth="1"/>
    <col min="35" max="35" width="8.83203125" customWidth="1"/>
    <col min="36" max="36" width="13.25" customWidth="1"/>
    <col min="37" max="37" width="10.75" customWidth="1"/>
    <col min="38" max="38" width="11.75" customWidth="1"/>
    <col min="39" max="39" width="7.58203125" customWidth="1"/>
    <col min="40" max="40" width="10.33203125" customWidth="1"/>
    <col min="41" max="41" width="12.25" customWidth="1"/>
    <col min="42" max="42" width="21.33203125" customWidth="1"/>
    <col min="43" max="43" width="9.75" customWidth="1"/>
    <col min="44" max="44" width="7.58203125" customWidth="1"/>
    <col min="45" max="45" width="9.75" customWidth="1"/>
    <col min="46" max="46" width="12.83203125" customWidth="1"/>
    <col min="47" max="47" width="16.58203125" customWidth="1"/>
  </cols>
  <sheetData>
    <row r="1" spans="1:47" ht="14.25" customHeight="1" x14ac:dyDescent="0.3">
      <c r="A1" s="395" t="s">
        <v>0</v>
      </c>
      <c r="B1" s="396" t="s">
        <v>104</v>
      </c>
      <c r="C1" s="398" t="s">
        <v>3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2"/>
      <c r="T1" s="122"/>
      <c r="U1" s="122"/>
      <c r="V1" s="402" t="s">
        <v>4</v>
      </c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2"/>
      <c r="AS1" s="123"/>
      <c r="AT1" s="123"/>
      <c r="AU1" s="401" t="s">
        <v>5</v>
      </c>
    </row>
    <row r="2" spans="1:47" ht="14.25" customHeight="1" x14ac:dyDescent="0.3">
      <c r="A2" s="389"/>
      <c r="B2" s="353"/>
      <c r="C2" s="397" t="s">
        <v>6</v>
      </c>
      <c r="D2" s="397" t="s">
        <v>7</v>
      </c>
      <c r="E2" s="397" t="s">
        <v>8</v>
      </c>
      <c r="F2" s="397" t="s">
        <v>85</v>
      </c>
      <c r="G2" s="397" t="s">
        <v>86</v>
      </c>
      <c r="H2" s="397" t="s">
        <v>9</v>
      </c>
      <c r="I2" s="397" t="s">
        <v>7</v>
      </c>
      <c r="J2" s="397" t="s">
        <v>8</v>
      </c>
      <c r="K2" s="397" t="s">
        <v>85</v>
      </c>
      <c r="L2" s="397" t="s">
        <v>86</v>
      </c>
      <c r="M2" s="397" t="s">
        <v>105</v>
      </c>
      <c r="N2" s="397" t="s">
        <v>7</v>
      </c>
      <c r="O2" s="397" t="s">
        <v>8</v>
      </c>
      <c r="P2" s="397" t="s">
        <v>85</v>
      </c>
      <c r="Q2" s="397" t="s">
        <v>86</v>
      </c>
      <c r="R2" s="399" t="s">
        <v>11</v>
      </c>
      <c r="S2" s="372"/>
      <c r="T2" s="397" t="s">
        <v>85</v>
      </c>
      <c r="U2" s="397" t="s">
        <v>86</v>
      </c>
      <c r="V2" s="400" t="s">
        <v>12</v>
      </c>
      <c r="W2" s="400" t="s">
        <v>7</v>
      </c>
      <c r="X2" s="400" t="s">
        <v>8</v>
      </c>
      <c r="Y2" s="400" t="s">
        <v>85</v>
      </c>
      <c r="Z2" s="400" t="s">
        <v>131</v>
      </c>
      <c r="AA2" s="400" t="s">
        <v>13</v>
      </c>
      <c r="AB2" s="400" t="s">
        <v>7</v>
      </c>
      <c r="AC2" s="400" t="s">
        <v>8</v>
      </c>
      <c r="AD2" s="400" t="s">
        <v>85</v>
      </c>
      <c r="AE2" s="400" t="s">
        <v>131</v>
      </c>
      <c r="AF2" s="400" t="s">
        <v>14</v>
      </c>
      <c r="AG2" s="400" t="s">
        <v>7</v>
      </c>
      <c r="AH2" s="400" t="s">
        <v>8</v>
      </c>
      <c r="AI2" s="400" t="s">
        <v>85</v>
      </c>
      <c r="AJ2" s="400" t="s">
        <v>131</v>
      </c>
      <c r="AK2" s="400" t="s">
        <v>15</v>
      </c>
      <c r="AL2" s="400" t="s">
        <v>7</v>
      </c>
      <c r="AM2" s="400" t="s">
        <v>8</v>
      </c>
      <c r="AN2" s="400" t="s">
        <v>85</v>
      </c>
      <c r="AO2" s="400" t="s">
        <v>131</v>
      </c>
      <c r="AP2" s="400" t="s">
        <v>16</v>
      </c>
      <c r="AQ2" s="400" t="s">
        <v>7</v>
      </c>
      <c r="AR2" s="400" t="s">
        <v>8</v>
      </c>
      <c r="AS2" s="400" t="s">
        <v>85</v>
      </c>
      <c r="AT2" s="400" t="s">
        <v>131</v>
      </c>
      <c r="AU2" s="353"/>
    </row>
    <row r="3" spans="1:47" ht="14.25" customHeight="1" x14ac:dyDescent="0.3">
      <c r="A3" s="390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124" t="s">
        <v>17</v>
      </c>
      <c r="S3" s="124" t="s">
        <v>8</v>
      </c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</row>
    <row r="4" spans="1:47" ht="14.25" customHeight="1" x14ac:dyDescent="0.3">
      <c r="A4" s="76">
        <v>1</v>
      </c>
      <c r="B4" s="77" t="s">
        <v>100</v>
      </c>
      <c r="C4" s="78"/>
      <c r="D4" s="78"/>
      <c r="E4" s="78"/>
      <c r="F4" s="78"/>
      <c r="G4" s="78"/>
      <c r="H4" s="78"/>
      <c r="I4" s="78"/>
      <c r="J4" s="78"/>
      <c r="K4" s="97"/>
      <c r="L4" s="97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97"/>
      <c r="AE4" s="97"/>
      <c r="AF4" s="78"/>
      <c r="AG4" s="78"/>
      <c r="AH4" s="78"/>
      <c r="AI4" s="78"/>
      <c r="AJ4" s="78"/>
      <c r="AK4" s="78"/>
      <c r="AL4" s="78"/>
      <c r="AM4" s="78"/>
      <c r="AN4" s="97"/>
      <c r="AO4" s="97"/>
      <c r="AP4" s="78"/>
      <c r="AQ4" s="78"/>
      <c r="AR4" s="78"/>
      <c r="AS4" s="97"/>
      <c r="AT4" s="97"/>
      <c r="AU4" s="79"/>
    </row>
    <row r="5" spans="1:47" ht="14.25" customHeight="1" x14ac:dyDescent="0.3">
      <c r="A5" s="79"/>
      <c r="B5" s="79" t="s">
        <v>106</v>
      </c>
      <c r="C5" s="80" t="s">
        <v>107</v>
      </c>
      <c r="D5" s="111">
        <f>'UT Unit Fungsi'!D5</f>
        <v>1.095049968418018E-4</v>
      </c>
      <c r="E5" s="188" t="s">
        <v>199</v>
      </c>
      <c r="F5" s="111">
        <f>CF!H4</f>
        <v>2.22E-4</v>
      </c>
      <c r="G5" s="111">
        <f t="shared" ref="G5:G7" si="0">D5*F5</f>
        <v>2.4310109298879998E-8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9"/>
    </row>
    <row r="6" spans="1:47" ht="14.25" customHeight="1" x14ac:dyDescent="0.3">
      <c r="A6" s="79"/>
      <c r="B6" s="79" t="s">
        <v>108</v>
      </c>
      <c r="C6" s="80" t="s">
        <v>109</v>
      </c>
      <c r="D6" s="111">
        <f>'UT Unit Fungsi'!D6</f>
        <v>1.9087843472699963E-2</v>
      </c>
      <c r="E6" s="188" t="s">
        <v>209</v>
      </c>
      <c r="F6" s="125">
        <v>0</v>
      </c>
      <c r="G6" s="111">
        <f t="shared" si="0"/>
        <v>0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80" t="s">
        <v>111</v>
      </c>
      <c r="AB6" s="111">
        <f>Utilitas!R6/Utilitas!C30</f>
        <v>1.9087843472699963E-2</v>
      </c>
      <c r="AC6" s="188" t="s">
        <v>209</v>
      </c>
      <c r="AD6" s="125">
        <v>0</v>
      </c>
      <c r="AE6" s="111">
        <f>AB6*AD6</f>
        <v>0</v>
      </c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80" t="s">
        <v>112</v>
      </c>
      <c r="AQ6" s="111">
        <f>Utilitas!AA6/Utilitas!C30</f>
        <v>3.8175686945399931E-7</v>
      </c>
      <c r="AR6" s="188" t="s">
        <v>203</v>
      </c>
      <c r="AS6" s="118">
        <f>CF!H24</f>
        <v>5.4699999999999996E-4</v>
      </c>
      <c r="AT6" s="111">
        <f>AQ6*AS6</f>
        <v>2.0882100759133759E-10</v>
      </c>
      <c r="AU6" s="79"/>
    </row>
    <row r="7" spans="1:47" ht="14.25" customHeight="1" x14ac:dyDescent="0.3">
      <c r="A7" s="79"/>
      <c r="B7" s="79"/>
      <c r="C7" s="80" t="s">
        <v>113</v>
      </c>
      <c r="D7" s="111">
        <f>'UT Unit Fungsi'!D7</f>
        <v>3.8175686945399923E-5</v>
      </c>
      <c r="E7" s="188" t="s">
        <v>202</v>
      </c>
      <c r="F7" s="125">
        <v>0</v>
      </c>
      <c r="G7" s="111">
        <f t="shared" si="0"/>
        <v>0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112"/>
      <c r="AR7" s="78"/>
      <c r="AS7" s="78"/>
      <c r="AT7" s="78"/>
      <c r="AU7" s="79"/>
    </row>
    <row r="8" spans="1:47" ht="14.25" customHeight="1" x14ac:dyDescent="0.3">
      <c r="A8" s="79"/>
      <c r="B8" s="79" t="s">
        <v>114</v>
      </c>
      <c r="C8" s="78"/>
      <c r="D8" s="85"/>
      <c r="E8" s="85"/>
      <c r="F8" s="85"/>
      <c r="G8" s="85"/>
      <c r="H8" s="80" t="s">
        <v>22</v>
      </c>
      <c r="I8" s="111">
        <f>'UT Unit Fungsi'!G8</f>
        <v>6.6825250072615507E-3</v>
      </c>
      <c r="J8" s="188" t="s">
        <v>203</v>
      </c>
      <c r="K8" s="111">
        <f>CF!H7</f>
        <v>5.1500000000000001E-3</v>
      </c>
      <c r="L8" s="111">
        <f>I8*K8</f>
        <v>3.4415003787396986E-5</v>
      </c>
      <c r="M8" s="78"/>
      <c r="N8" s="78"/>
      <c r="O8" s="78"/>
      <c r="P8" s="78"/>
      <c r="Q8" s="78"/>
      <c r="R8" s="78"/>
      <c r="S8" s="78"/>
      <c r="T8" s="78"/>
      <c r="U8" s="78"/>
      <c r="V8" s="87" t="s">
        <v>24</v>
      </c>
      <c r="W8" s="111">
        <f>Utilitas!O8/Utilitas!C30</f>
        <v>3.4084522550674235E-8</v>
      </c>
      <c r="X8" s="20" t="s">
        <v>205</v>
      </c>
      <c r="Y8" s="126">
        <f>CF!H21</f>
        <v>3.6900000000000002E-2</v>
      </c>
      <c r="Z8" s="126">
        <f t="shared" ref="Z8:Z10" si="1">W8*Y8</f>
        <v>1.2577188821198793E-9</v>
      </c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112"/>
      <c r="AR8" s="78"/>
      <c r="AS8" s="78"/>
      <c r="AT8" s="78"/>
      <c r="AU8" s="79"/>
    </row>
    <row r="9" spans="1:47" ht="14.25" customHeight="1" x14ac:dyDescent="0.3">
      <c r="A9" s="76"/>
      <c r="B9" s="79"/>
      <c r="C9" s="78"/>
      <c r="D9" s="85"/>
      <c r="E9" s="85"/>
      <c r="F9" s="85"/>
      <c r="G9" s="85"/>
      <c r="H9" s="78"/>
      <c r="I9" s="85"/>
      <c r="J9" s="85"/>
      <c r="K9" s="85"/>
      <c r="L9" s="85"/>
      <c r="M9" s="78"/>
      <c r="N9" s="89"/>
      <c r="O9" s="78"/>
      <c r="P9" s="78"/>
      <c r="Q9" s="78"/>
      <c r="R9" s="78"/>
      <c r="S9" s="78"/>
      <c r="T9" s="78"/>
      <c r="U9" s="78"/>
      <c r="V9" s="87" t="s">
        <v>29</v>
      </c>
      <c r="W9" s="111">
        <f>Utilitas!O9/Utilitas!C30</f>
        <v>5.1831000461322046E-7</v>
      </c>
      <c r="X9" s="18" t="s">
        <v>206</v>
      </c>
      <c r="Y9" s="127">
        <f>CF!H22</f>
        <v>8.77E-3</v>
      </c>
      <c r="Z9" s="127">
        <f t="shared" si="1"/>
        <v>4.5455787404579434E-9</v>
      </c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90"/>
      <c r="AO9" s="90"/>
      <c r="AP9" s="90"/>
      <c r="AQ9" s="112"/>
      <c r="AR9" s="92"/>
      <c r="AS9" s="92"/>
      <c r="AT9" s="92"/>
      <c r="AU9" s="79"/>
    </row>
    <row r="10" spans="1:47" ht="14.25" customHeight="1" x14ac:dyDescent="0.3">
      <c r="A10" s="76"/>
      <c r="B10" s="79"/>
      <c r="C10" s="78"/>
      <c r="D10" s="85"/>
      <c r="E10" s="85"/>
      <c r="F10" s="85"/>
      <c r="G10" s="85"/>
      <c r="H10" s="78"/>
      <c r="I10" s="85"/>
      <c r="J10" s="85"/>
      <c r="K10" s="85"/>
      <c r="L10" s="85"/>
      <c r="M10" s="78"/>
      <c r="N10" s="89"/>
      <c r="O10" s="78"/>
      <c r="P10" s="78"/>
      <c r="Q10" s="78"/>
      <c r="R10" s="78"/>
      <c r="S10" s="78"/>
      <c r="T10" s="78"/>
      <c r="U10" s="78"/>
      <c r="V10" s="87" t="s">
        <v>31</v>
      </c>
      <c r="W10" s="111">
        <f>Utilitas!O10/Utilitas!C30</f>
        <v>2.0257163306103306E-5</v>
      </c>
      <c r="X10" s="18" t="s">
        <v>207</v>
      </c>
      <c r="Y10" s="127">
        <f>CF!H23</f>
        <v>2.2899999999999999E-3</v>
      </c>
      <c r="Z10" s="127">
        <f t="shared" si="1"/>
        <v>4.638890397097657E-8</v>
      </c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90"/>
      <c r="AO10" s="90"/>
      <c r="AP10" s="90"/>
      <c r="AQ10" s="112"/>
      <c r="AR10" s="92"/>
      <c r="AS10" s="92"/>
      <c r="AT10" s="92"/>
      <c r="AU10" s="79"/>
    </row>
    <row r="11" spans="1:47" ht="14.25" customHeight="1" x14ac:dyDescent="0.3">
      <c r="A11" s="76"/>
      <c r="B11" s="79"/>
      <c r="C11" s="78"/>
      <c r="D11" s="85"/>
      <c r="E11" s="85"/>
      <c r="F11" s="85"/>
      <c r="G11" s="85"/>
      <c r="H11" s="78"/>
      <c r="I11" s="85"/>
      <c r="J11" s="85"/>
      <c r="K11" s="85"/>
      <c r="L11" s="85"/>
      <c r="M11" s="78"/>
      <c r="N11" s="89"/>
      <c r="O11" s="78"/>
      <c r="P11" s="78"/>
      <c r="Q11" s="78"/>
      <c r="R11" s="78"/>
      <c r="S11" s="78"/>
      <c r="T11" s="78"/>
      <c r="U11" s="78"/>
      <c r="V11" s="78"/>
      <c r="W11" s="113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90"/>
      <c r="AO11" s="90"/>
      <c r="AP11" s="90"/>
      <c r="AQ11" s="112"/>
      <c r="AR11" s="92"/>
      <c r="AS11" s="92"/>
      <c r="AT11" s="92"/>
      <c r="AU11" s="79"/>
    </row>
    <row r="12" spans="1:47" ht="14.25" customHeight="1" x14ac:dyDescent="0.3">
      <c r="A12" s="76"/>
      <c r="B12" s="79"/>
      <c r="C12" s="78"/>
      <c r="D12" s="85"/>
      <c r="E12" s="85"/>
      <c r="F12" s="85"/>
      <c r="G12" s="85"/>
      <c r="H12" s="78"/>
      <c r="I12" s="85"/>
      <c r="J12" s="85"/>
      <c r="K12" s="85"/>
      <c r="L12" s="85"/>
      <c r="M12" s="78"/>
      <c r="N12" s="89"/>
      <c r="O12" s="78"/>
      <c r="P12" s="78"/>
      <c r="Q12" s="78"/>
      <c r="R12" s="78"/>
      <c r="S12" s="78"/>
      <c r="T12" s="78"/>
      <c r="U12" s="78"/>
      <c r="V12" s="78"/>
      <c r="W12" s="113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90"/>
      <c r="AO12" s="90"/>
      <c r="AP12" s="90"/>
      <c r="AQ12" s="112"/>
      <c r="AR12" s="92"/>
      <c r="AS12" s="92"/>
      <c r="AT12" s="92"/>
      <c r="AU12" s="79"/>
    </row>
    <row r="13" spans="1:47" ht="14.25" customHeight="1" x14ac:dyDescent="0.3">
      <c r="A13" s="76">
        <v>2</v>
      </c>
      <c r="B13" s="77" t="s">
        <v>101</v>
      </c>
      <c r="C13" s="78"/>
      <c r="D13" s="85"/>
      <c r="E13" s="85"/>
      <c r="F13" s="85"/>
      <c r="G13" s="85"/>
      <c r="H13" s="80" t="s">
        <v>22</v>
      </c>
      <c r="I13" s="111">
        <f>'UT Unit Fungsi'!G13</f>
        <v>1.3651443943405738E-2</v>
      </c>
      <c r="J13" s="188" t="s">
        <v>203</v>
      </c>
      <c r="K13" s="111">
        <f>K8</f>
        <v>5.1500000000000001E-3</v>
      </c>
      <c r="L13" s="111">
        <f>I13*K13</f>
        <v>7.0304936308539554E-5</v>
      </c>
      <c r="M13" s="80" t="s">
        <v>115</v>
      </c>
      <c r="N13" s="81">
        <f>Utilitas!J13/Utilitas!C30</f>
        <v>5.3429011325306891E-2</v>
      </c>
      <c r="O13" s="188" t="s">
        <v>203</v>
      </c>
      <c r="P13" s="125">
        <v>0</v>
      </c>
      <c r="Q13" s="86">
        <f t="shared" ref="Q13:Q14" si="2">N13*P13</f>
        <v>0</v>
      </c>
      <c r="R13" s="78"/>
      <c r="S13" s="78"/>
      <c r="T13" s="78"/>
      <c r="U13" s="78"/>
      <c r="V13" s="87" t="s">
        <v>24</v>
      </c>
      <c r="W13" s="111">
        <f>Utilitas!O13/Utilitas!C30</f>
        <v>6.962981035352022E-8</v>
      </c>
      <c r="X13" s="20" t="s">
        <v>205</v>
      </c>
      <c r="Y13" s="126">
        <f t="shared" ref="Y13:Y15" si="3">Y8</f>
        <v>3.6900000000000002E-2</v>
      </c>
      <c r="Z13" s="126">
        <f t="shared" ref="Z13:Z15" si="4">W13*Y13</f>
        <v>2.5693400020448961E-9</v>
      </c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80" t="s">
        <v>116</v>
      </c>
      <c r="AL13" s="94">
        <f>Utilitas!X13/Utilitas!C30</f>
        <v>3.6329210656642426E-3</v>
      </c>
      <c r="AM13" s="188" t="s">
        <v>200</v>
      </c>
      <c r="AN13" s="128">
        <f>CF!H12</f>
        <v>4.2500000000000003E-3</v>
      </c>
      <c r="AO13" s="128">
        <f t="shared" ref="AO13:AO16" si="5">AL13*AN13</f>
        <v>1.5439914529073031E-5</v>
      </c>
      <c r="AP13" s="95" t="s">
        <v>117</v>
      </c>
      <c r="AQ13" s="111">
        <f>Utilitas!AA13/Utilitas!C30</f>
        <v>1.0685802265061379E-7</v>
      </c>
      <c r="AR13" s="188" t="s">
        <v>203</v>
      </c>
      <c r="AS13" s="129">
        <f>CF!H26</f>
        <v>3.7300000000000001E-4</v>
      </c>
      <c r="AT13" s="130">
        <f t="shared" ref="AT13:AT14" si="6">AQ13*AS13</f>
        <v>3.9858042448678945E-11</v>
      </c>
      <c r="AU13" s="79"/>
    </row>
    <row r="14" spans="1:47" ht="14.25" customHeight="1" x14ac:dyDescent="0.3">
      <c r="A14" s="79"/>
      <c r="B14" s="79"/>
      <c r="C14" s="78"/>
      <c r="D14" s="85"/>
      <c r="E14" s="85"/>
      <c r="F14" s="85"/>
      <c r="G14" s="85"/>
      <c r="H14" s="78"/>
      <c r="I14" s="85"/>
      <c r="J14" s="85"/>
      <c r="K14" s="85"/>
      <c r="L14" s="85"/>
      <c r="M14" s="80" t="s">
        <v>118</v>
      </c>
      <c r="N14" s="81">
        <f>Utilitas!J14/Utilitas!C30</f>
        <v>1.9642121495572963E-2</v>
      </c>
      <c r="O14" s="188" t="s">
        <v>203</v>
      </c>
      <c r="P14" s="125">
        <f>CF!H32</f>
        <v>8.1600000000000006E-3</v>
      </c>
      <c r="Q14" s="111">
        <f t="shared" si="2"/>
        <v>1.6027971140387539E-4</v>
      </c>
      <c r="R14" s="78"/>
      <c r="S14" s="78"/>
      <c r="T14" s="78"/>
      <c r="U14" s="78"/>
      <c r="V14" s="87" t="s">
        <v>29</v>
      </c>
      <c r="W14" s="111">
        <f>Utilitas!O14/Utilitas!C30</f>
        <v>1.058833295138436E-6</v>
      </c>
      <c r="X14" s="18" t="s">
        <v>206</v>
      </c>
      <c r="Y14" s="127">
        <f t="shared" si="3"/>
        <v>8.77E-3</v>
      </c>
      <c r="Z14" s="127">
        <f t="shared" si="4"/>
        <v>9.2859679983640842E-9</v>
      </c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80" t="s">
        <v>119</v>
      </c>
      <c r="AL14" s="94">
        <f>Utilitas!X14/Utilitas!C30</f>
        <v>6.5392579181956359E-2</v>
      </c>
      <c r="AM14" s="188" t="s">
        <v>203</v>
      </c>
      <c r="AN14" s="131">
        <v>0</v>
      </c>
      <c r="AO14" s="132">
        <f t="shared" si="5"/>
        <v>0</v>
      </c>
      <c r="AP14" s="95" t="s">
        <v>121</v>
      </c>
      <c r="AQ14" s="111">
        <f>Utilitas!AA14/Utilitas!C30</f>
        <v>3.9284242991145929E-8</v>
      </c>
      <c r="AR14" s="188" t="s">
        <v>203</v>
      </c>
      <c r="AS14" s="129">
        <f>AS13</f>
        <v>3.7300000000000001E-4</v>
      </c>
      <c r="AT14" s="130">
        <f t="shared" si="6"/>
        <v>1.4653022635697431E-11</v>
      </c>
      <c r="AU14" s="79"/>
    </row>
    <row r="15" spans="1:47" ht="14.25" customHeight="1" x14ac:dyDescent="0.3">
      <c r="A15" s="79"/>
      <c r="B15" s="79"/>
      <c r="C15" s="78"/>
      <c r="D15" s="85"/>
      <c r="E15" s="85"/>
      <c r="F15" s="85"/>
      <c r="G15" s="85"/>
      <c r="H15" s="78"/>
      <c r="I15" s="85"/>
      <c r="J15" s="85"/>
      <c r="K15" s="85"/>
      <c r="L15" s="85"/>
      <c r="M15" s="78"/>
      <c r="N15" s="78"/>
      <c r="O15" s="78"/>
      <c r="P15" s="78"/>
      <c r="Q15" s="78"/>
      <c r="R15" s="78"/>
      <c r="S15" s="78"/>
      <c r="T15" s="78"/>
      <c r="U15" s="78"/>
      <c r="V15" s="87" t="s">
        <v>31</v>
      </c>
      <c r="W15" s="111">
        <f>Utilitas!O15/Utilitas!C30</f>
        <v>4.138249075389676E-5</v>
      </c>
      <c r="X15" s="18" t="s">
        <v>207</v>
      </c>
      <c r="Y15" s="127">
        <f t="shared" si="3"/>
        <v>2.2899999999999999E-3</v>
      </c>
      <c r="Z15" s="127">
        <f t="shared" si="4"/>
        <v>9.4765903826423572E-8</v>
      </c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80" t="s">
        <v>122</v>
      </c>
      <c r="AL15" s="94">
        <f>Utilitas!X15/Utilitas!C30</f>
        <v>7.2658421313284859E-5</v>
      </c>
      <c r="AM15" s="188" t="s">
        <v>203</v>
      </c>
      <c r="AN15" s="125">
        <v>0</v>
      </c>
      <c r="AO15" s="132">
        <f t="shared" si="5"/>
        <v>0</v>
      </c>
      <c r="AP15" s="78"/>
      <c r="AQ15" s="97"/>
      <c r="AR15" s="78"/>
      <c r="AS15" s="78"/>
      <c r="AT15" s="78"/>
      <c r="AU15" s="79"/>
    </row>
    <row r="16" spans="1:47" ht="14.25" customHeight="1" x14ac:dyDescent="0.3">
      <c r="A16" s="98"/>
      <c r="B16" s="98"/>
      <c r="C16" s="84"/>
      <c r="D16" s="99"/>
      <c r="E16" s="99"/>
      <c r="F16" s="99"/>
      <c r="G16" s="99"/>
      <c r="H16" s="84"/>
      <c r="I16" s="99"/>
      <c r="J16" s="99"/>
      <c r="K16" s="99"/>
      <c r="L16" s="99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115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101" t="s">
        <v>123</v>
      </c>
      <c r="AL16" s="102">
        <f>Utilitas!X16/Utilitas!C30</f>
        <v>3.2696289590978186E-3</v>
      </c>
      <c r="AM16" s="188" t="s">
        <v>203</v>
      </c>
      <c r="AN16" s="133">
        <v>0</v>
      </c>
      <c r="AO16" s="132">
        <f t="shared" si="5"/>
        <v>0</v>
      </c>
      <c r="AP16" s="84"/>
      <c r="AQ16" s="84"/>
      <c r="AR16" s="84"/>
      <c r="AS16" s="84"/>
      <c r="AT16" s="84"/>
      <c r="AU16" s="98"/>
    </row>
    <row r="17" spans="1:47" ht="12.75" customHeight="1" x14ac:dyDescent="0.3">
      <c r="A17" s="103"/>
      <c r="B17" s="98"/>
      <c r="C17" s="84"/>
      <c r="D17" s="99"/>
      <c r="E17" s="99"/>
      <c r="F17" s="99"/>
      <c r="G17" s="99"/>
      <c r="H17" s="84"/>
      <c r="I17" s="99"/>
      <c r="J17" s="99"/>
      <c r="K17" s="99"/>
      <c r="L17" s="99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115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98"/>
    </row>
    <row r="18" spans="1:47" ht="12.75" customHeight="1" x14ac:dyDescent="0.3">
      <c r="A18" s="76">
        <v>3</v>
      </c>
      <c r="B18" s="104" t="s">
        <v>102</v>
      </c>
      <c r="C18" s="78"/>
      <c r="D18" s="85"/>
      <c r="E18" s="85"/>
      <c r="F18" s="85"/>
      <c r="G18" s="85"/>
      <c r="H18" s="79" t="s">
        <v>22</v>
      </c>
      <c r="I18" s="116">
        <f>'UT Unit Fungsi'!G18</f>
        <v>2.2169610837840557</v>
      </c>
      <c r="J18" s="188" t="s">
        <v>203</v>
      </c>
      <c r="K18" s="116">
        <f>K8</f>
        <v>5.1500000000000001E-3</v>
      </c>
      <c r="L18" s="116">
        <f>I18*K18</f>
        <v>1.1417349581487888E-2</v>
      </c>
      <c r="M18" s="78"/>
      <c r="N18" s="78"/>
      <c r="O18" s="78"/>
      <c r="P18" s="78"/>
      <c r="Q18" s="78"/>
      <c r="R18" s="117">
        <f>Utilitas!L18/Utilitas!C30</f>
        <v>7.40849022395951E-4</v>
      </c>
      <c r="S18" s="20" t="s">
        <v>205</v>
      </c>
      <c r="T18" s="117">
        <f>CF!H10</f>
        <v>4.42E-6</v>
      </c>
      <c r="U18" s="117">
        <f>R18*T18</f>
        <v>3.2745526789901034E-9</v>
      </c>
      <c r="V18" s="87" t="s">
        <v>24</v>
      </c>
      <c r="W18" s="117">
        <f>Utilitas!O18/Utilitas!C30</f>
        <v>1.130771077879893E-5</v>
      </c>
      <c r="X18" s="20" t="s">
        <v>205</v>
      </c>
      <c r="Y18" s="126">
        <f t="shared" ref="Y18:Y20" si="7">Y8</f>
        <v>3.6900000000000002E-2</v>
      </c>
      <c r="Z18" s="126">
        <f t="shared" ref="Z18:Z20" si="8">W18*Y18</f>
        <v>4.1725452773768054E-7</v>
      </c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9"/>
    </row>
    <row r="19" spans="1:47" ht="14.25" customHeight="1" x14ac:dyDescent="0.3">
      <c r="A19" s="79"/>
      <c r="B19" s="77"/>
      <c r="C19" s="78"/>
      <c r="D19" s="85"/>
      <c r="E19" s="85"/>
      <c r="F19" s="85"/>
      <c r="G19" s="85"/>
      <c r="H19" s="78"/>
      <c r="I19" s="107"/>
      <c r="J19" s="78"/>
      <c r="K19" s="78"/>
      <c r="L19" s="78"/>
      <c r="M19" s="78"/>
      <c r="N19" s="78"/>
      <c r="O19" s="78"/>
      <c r="P19" s="78"/>
      <c r="Q19" s="78"/>
      <c r="R19" s="78"/>
      <c r="S19" s="18" t="s">
        <v>206</v>
      </c>
      <c r="T19" s="78"/>
      <c r="U19" s="78"/>
      <c r="V19" s="87" t="s">
        <v>29</v>
      </c>
      <c r="W19" s="117">
        <f>Utilitas!O19/Utilitas!C30</f>
        <v>1.7195193558045894E-4</v>
      </c>
      <c r="X19" s="18" t="s">
        <v>206</v>
      </c>
      <c r="Y19" s="127">
        <f t="shared" si="7"/>
        <v>8.77E-3</v>
      </c>
      <c r="Z19" s="127">
        <f t="shared" si="8"/>
        <v>1.508018475040625E-6</v>
      </c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9"/>
    </row>
    <row r="20" spans="1:47" ht="14.25" customHeight="1" x14ac:dyDescent="0.3">
      <c r="A20" s="79"/>
      <c r="B20" s="77"/>
      <c r="C20" s="78"/>
      <c r="D20" s="85"/>
      <c r="E20" s="85"/>
      <c r="F20" s="85"/>
      <c r="G20" s="85"/>
      <c r="H20" s="78"/>
      <c r="I20" s="107"/>
      <c r="J20" s="78"/>
      <c r="K20" s="78"/>
      <c r="L20" s="78"/>
      <c r="M20" s="78"/>
      <c r="N20" s="78"/>
      <c r="O20" s="78"/>
      <c r="P20" s="78"/>
      <c r="Q20" s="78"/>
      <c r="R20" s="78"/>
      <c r="S20" s="18" t="s">
        <v>207</v>
      </c>
      <c r="T20" s="78"/>
      <c r="U20" s="78"/>
      <c r="V20" s="87" t="s">
        <v>31</v>
      </c>
      <c r="W20" s="117">
        <f>Utilitas!O20/Utilitas!C30</f>
        <v>6.7204152126163026E-3</v>
      </c>
      <c r="X20" s="18" t="s">
        <v>207</v>
      </c>
      <c r="Y20" s="127">
        <f t="shared" si="7"/>
        <v>2.2899999999999999E-3</v>
      </c>
      <c r="Z20" s="127">
        <f t="shared" si="8"/>
        <v>1.5389750836891333E-5</v>
      </c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9"/>
    </row>
    <row r="21" spans="1:47" ht="14.25" customHeight="1" x14ac:dyDescent="0.3">
      <c r="A21" s="79"/>
      <c r="B21" s="77"/>
      <c r="C21" s="78"/>
      <c r="D21" s="85"/>
      <c r="E21" s="85"/>
      <c r="F21" s="85"/>
      <c r="G21" s="85"/>
      <c r="H21" s="78"/>
      <c r="I21" s="107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85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9"/>
    </row>
    <row r="22" spans="1:47" ht="14.25" customHeight="1" x14ac:dyDescent="0.3">
      <c r="A22" s="76">
        <v>4</v>
      </c>
      <c r="B22" s="77" t="s">
        <v>103</v>
      </c>
      <c r="C22" s="80" t="s">
        <v>124</v>
      </c>
      <c r="D22" s="111">
        <f>'UT Unit Fungsi'!D22</f>
        <v>0.21396490426821876</v>
      </c>
      <c r="E22" s="188" t="s">
        <v>203</v>
      </c>
      <c r="F22" s="94">
        <v>0</v>
      </c>
      <c r="G22" s="111">
        <f t="shared" ref="G22:G28" si="9">D22*F22</f>
        <v>0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80" t="s">
        <v>124</v>
      </c>
      <c r="AG22" s="111">
        <f>Utilitas!U22/Utilitas!C30</f>
        <v>2.1398182754583456E-4</v>
      </c>
      <c r="AH22" s="188" t="s">
        <v>203</v>
      </c>
      <c r="AI22" s="111">
        <f>CF!H34</f>
        <v>1.8000000000000001E-4</v>
      </c>
      <c r="AJ22" s="111">
        <f t="shared" ref="AJ22:AJ28" si="10">AG22*AI22</f>
        <v>3.8516728958250225E-8</v>
      </c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9"/>
    </row>
    <row r="23" spans="1:47" ht="14.25" customHeight="1" x14ac:dyDescent="0.3">
      <c r="A23" s="79"/>
      <c r="B23" s="79"/>
      <c r="C23" s="108" t="s">
        <v>125</v>
      </c>
      <c r="D23" s="111">
        <f>'UT Unit Fungsi'!D23</f>
        <v>2.3811919465810231E-3</v>
      </c>
      <c r="E23" s="188" t="s">
        <v>203</v>
      </c>
      <c r="F23" s="94">
        <v>0</v>
      </c>
      <c r="G23" s="111">
        <f t="shared" si="9"/>
        <v>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20" t="s">
        <v>205</v>
      </c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108" t="s">
        <v>125</v>
      </c>
      <c r="AG23" s="111">
        <f>Utilitas!U23/Utilitas!C30</f>
        <v>2.3811919465810231E-6</v>
      </c>
      <c r="AH23" s="188" t="s">
        <v>203</v>
      </c>
      <c r="AI23" s="148">
        <v>0</v>
      </c>
      <c r="AJ23" s="111">
        <f t="shared" si="10"/>
        <v>0</v>
      </c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9"/>
    </row>
    <row r="24" spans="1:47" ht="14.25" customHeight="1" x14ac:dyDescent="0.3">
      <c r="A24" s="79"/>
      <c r="B24" s="79"/>
      <c r="C24" s="108" t="s">
        <v>126</v>
      </c>
      <c r="D24" s="111">
        <f>'UT Unit Fungsi'!D24</f>
        <v>2.6502286676525925E-2</v>
      </c>
      <c r="E24" s="188" t="s">
        <v>203</v>
      </c>
      <c r="F24" s="94">
        <v>0</v>
      </c>
      <c r="G24" s="111">
        <f t="shared" si="9"/>
        <v>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18" t="s">
        <v>206</v>
      </c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108" t="s">
        <v>126</v>
      </c>
      <c r="AG24" s="111">
        <f>Utilitas!U24/Utilitas!C30</f>
        <v>2.6502286676525927E-5</v>
      </c>
      <c r="AH24" s="188" t="s">
        <v>203</v>
      </c>
      <c r="AI24" s="111">
        <f>CF!H29</f>
        <v>7.9200000000000004E-6</v>
      </c>
      <c r="AJ24" s="111">
        <f t="shared" si="10"/>
        <v>2.0989811047808535E-10</v>
      </c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/>
    </row>
    <row r="25" spans="1:47" ht="14.25" customHeight="1" x14ac:dyDescent="0.3">
      <c r="A25" s="79"/>
      <c r="B25" s="79"/>
      <c r="C25" s="80" t="s">
        <v>127</v>
      </c>
      <c r="D25" s="111">
        <f>'UT Unit Fungsi'!D25</f>
        <v>4.7189908736343759E-3</v>
      </c>
      <c r="E25" s="188" t="s">
        <v>203</v>
      </c>
      <c r="F25" s="94">
        <v>0</v>
      </c>
      <c r="G25" s="111">
        <f t="shared" si="9"/>
        <v>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18" t="s">
        <v>207</v>
      </c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80" t="s">
        <v>127</v>
      </c>
      <c r="AG25" s="111">
        <f>Utilitas!U25/Utilitas!C30</f>
        <v>4.7189908736343763E-6</v>
      </c>
      <c r="AH25" s="188" t="s">
        <v>203</v>
      </c>
      <c r="AI25" s="111">
        <f>CF!H31</f>
        <v>4.0600000000000002E-3</v>
      </c>
      <c r="AJ25" s="111">
        <f t="shared" si="10"/>
        <v>1.915910294695557E-8</v>
      </c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9"/>
    </row>
    <row r="26" spans="1:47" ht="14.25" customHeight="1" x14ac:dyDescent="0.3">
      <c r="A26" s="79"/>
      <c r="B26" s="79"/>
      <c r="C26" s="108" t="s">
        <v>128</v>
      </c>
      <c r="D26" s="118">
        <f>'UT Unit Fungsi'!D26</f>
        <v>5.0335902652099982E-3</v>
      </c>
      <c r="E26" s="188" t="s">
        <v>203</v>
      </c>
      <c r="F26" s="94">
        <v>0</v>
      </c>
      <c r="G26" s="111">
        <f t="shared" si="9"/>
        <v>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84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108" t="s">
        <v>128</v>
      </c>
      <c r="AG26" s="111">
        <f>Utilitas!U26/Utilitas!C30</f>
        <v>5.0335902652099982E-6</v>
      </c>
      <c r="AH26" s="188" t="s">
        <v>203</v>
      </c>
      <c r="AI26" s="111">
        <f>CF!H13</f>
        <v>7.6799999999999993E-2</v>
      </c>
      <c r="AJ26" s="111">
        <f t="shared" si="10"/>
        <v>3.8657973236812782E-7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9"/>
    </row>
    <row r="27" spans="1:47" ht="14.25" customHeight="1" x14ac:dyDescent="0.3">
      <c r="A27" s="79"/>
      <c r="B27" s="79"/>
      <c r="C27" s="108" t="s">
        <v>129</v>
      </c>
      <c r="D27" s="111">
        <f>'UT Unit Fungsi'!D27</f>
        <v>1.3180597136765854E-2</v>
      </c>
      <c r="E27" s="188" t="s">
        <v>203</v>
      </c>
      <c r="F27" s="94">
        <v>0</v>
      </c>
      <c r="G27" s="111">
        <f t="shared" si="9"/>
        <v>0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84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108" t="s">
        <v>129</v>
      </c>
      <c r="AG27" s="111">
        <f>Utilitas!U27/Utilitas!C30</f>
        <v>1.3180597136765854E-5</v>
      </c>
      <c r="AH27" s="188" t="s">
        <v>203</v>
      </c>
      <c r="AI27" s="111">
        <f>CF!H25</f>
        <v>2.0900000000000001E-4</v>
      </c>
      <c r="AJ27" s="111">
        <f t="shared" si="10"/>
        <v>2.7547448015840635E-9</v>
      </c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9"/>
    </row>
    <row r="28" spans="1:47" ht="14.25" customHeight="1" x14ac:dyDescent="0.3">
      <c r="A28" s="79"/>
      <c r="B28" s="79"/>
      <c r="C28" s="80" t="s">
        <v>130</v>
      </c>
      <c r="D28" s="111">
        <f>'UT Unit Fungsi'!D28</f>
        <v>1.4428178992951074E-3</v>
      </c>
      <c r="E28" s="188" t="s">
        <v>203</v>
      </c>
      <c r="F28" s="94">
        <v>0</v>
      </c>
      <c r="G28" s="111">
        <f t="shared" si="9"/>
        <v>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20" t="s">
        <v>205</v>
      </c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80" t="s">
        <v>130</v>
      </c>
      <c r="AG28" s="111">
        <f>Utilitas!U28/Utilitas!C30</f>
        <v>1.4428178992951075E-6</v>
      </c>
      <c r="AH28" s="188" t="s">
        <v>203</v>
      </c>
      <c r="AI28" s="111">
        <f>CF!H34</f>
        <v>1.8000000000000001E-4</v>
      </c>
      <c r="AJ28" s="111">
        <f t="shared" si="10"/>
        <v>2.5970722187311937E-10</v>
      </c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9"/>
    </row>
    <row r="29" spans="1:47" ht="14.25" customHeight="1" x14ac:dyDescent="0.3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8" t="s">
        <v>206</v>
      </c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</row>
    <row r="30" spans="1:47" ht="14.25" customHeight="1" x14ac:dyDescent="0.35">
      <c r="A30" s="109"/>
      <c r="B30" s="135" t="s">
        <v>96</v>
      </c>
      <c r="C30" s="109"/>
      <c r="D30" s="136" t="s">
        <v>100</v>
      </c>
      <c r="E30" s="137">
        <f>SUM(G5:G7,L8,Z8:Z10,AE6,AT6)</f>
        <v>3.4491714919297013E-5</v>
      </c>
      <c r="F30" s="109"/>
      <c r="G30" s="381" t="s">
        <v>210</v>
      </c>
      <c r="H30" s="381"/>
      <c r="I30" s="381"/>
      <c r="J30" s="109"/>
      <c r="K30" s="109"/>
      <c r="L30" s="109"/>
      <c r="M30" s="109"/>
      <c r="N30" s="109"/>
      <c r="O30" s="109"/>
      <c r="P30" s="109"/>
      <c r="Q30" s="109"/>
      <c r="R30" s="109"/>
      <c r="S30" s="18" t="s">
        <v>207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</row>
    <row r="31" spans="1:47" ht="14.25" customHeight="1" x14ac:dyDescent="0.35">
      <c r="A31" s="109"/>
      <c r="B31" s="138">
        <f>SUM(G5:G7,L8,L13,L18,Q13:Q14,U18,Z8:Z10,Z13:Z15,Z18:Z20,AE6,AJ22:AJ28,AO13:AO16,AT6,AT13:AT14)</f>
        <v>1.1715738312678321E-2</v>
      </c>
      <c r="C31" s="109"/>
      <c r="D31" s="136" t="s">
        <v>101</v>
      </c>
      <c r="E31" s="137">
        <f>SUM(L13,Q13:Q14,Z13:Z15,AO13:AO16,AT13:AT14)</f>
        <v>2.4613123796437983E-4</v>
      </c>
      <c r="F31" s="109"/>
      <c r="G31" s="197" t="s">
        <v>86</v>
      </c>
      <c r="H31" s="195" t="s">
        <v>211</v>
      </c>
      <c r="I31" s="197" t="s">
        <v>212</v>
      </c>
      <c r="J31" s="109"/>
      <c r="K31" s="109"/>
      <c r="L31" s="109"/>
      <c r="M31" s="10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</row>
    <row r="32" spans="1:47" ht="14.25" customHeight="1" x14ac:dyDescent="0.35">
      <c r="A32" s="109"/>
      <c r="B32" s="135" t="s">
        <v>97</v>
      </c>
      <c r="C32" s="109"/>
      <c r="D32" s="136" t="s">
        <v>102</v>
      </c>
      <c r="E32" s="137">
        <f>SUM(L18,U18,Z18:Z20)</f>
        <v>1.1434667879880237E-2</v>
      </c>
      <c r="F32" s="109"/>
      <c r="G32" s="215">
        <f>G5</f>
        <v>2.4310109298879998E-8</v>
      </c>
      <c r="H32" s="216">
        <f>(G32/$G$71)*100%</f>
        <v>2.0749959285598359E-6</v>
      </c>
      <c r="I32" s="220"/>
      <c r="J32" s="109"/>
      <c r="K32" s="109"/>
      <c r="L32" s="109"/>
      <c r="M32" s="109"/>
      <c r="N32" s="140"/>
      <c r="O32" s="139"/>
      <c r="P32" s="139"/>
      <c r="Q32" s="139"/>
      <c r="R32" s="139"/>
      <c r="S32" s="139"/>
      <c r="T32" s="139"/>
      <c r="U32" s="139"/>
      <c r="V32" s="139"/>
      <c r="W32" s="13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</row>
    <row r="33" spans="1:47" ht="14.25" customHeight="1" x14ac:dyDescent="0.3">
      <c r="A33" s="109"/>
      <c r="B33" s="109"/>
      <c r="C33" s="109"/>
      <c r="D33" s="136" t="s">
        <v>103</v>
      </c>
      <c r="E33" s="137">
        <f>SUM(AJ22:AJ28)</f>
        <v>4.4747991440726889E-7</v>
      </c>
      <c r="F33" s="109"/>
      <c r="G33" s="215">
        <f t="shared" ref="G33:G34" si="11">G6</f>
        <v>0</v>
      </c>
      <c r="H33" s="216">
        <f t="shared" ref="H33:H70" si="12">(G33/$G$71)*100%</f>
        <v>0</v>
      </c>
      <c r="I33" s="220"/>
      <c r="J33" s="109"/>
      <c r="K33" s="109"/>
      <c r="L33" s="109"/>
      <c r="M33" s="109"/>
      <c r="N33" s="141"/>
      <c r="O33" s="142"/>
      <c r="P33" s="142"/>
      <c r="Q33" s="142"/>
      <c r="R33" s="141"/>
      <c r="S33" s="139"/>
      <c r="T33" s="139"/>
      <c r="U33" s="139"/>
      <c r="V33" s="139"/>
      <c r="W33" s="13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</row>
    <row r="34" spans="1:47" ht="14.25" customHeight="1" x14ac:dyDescent="0.3">
      <c r="A34" s="109"/>
      <c r="B34" s="109"/>
      <c r="C34" s="109"/>
      <c r="D34" s="109"/>
      <c r="E34" s="137">
        <f>SUM(E30:E33)</f>
        <v>1.1715738312678321E-2</v>
      </c>
      <c r="F34" s="109"/>
      <c r="G34" s="215">
        <f t="shared" si="11"/>
        <v>0</v>
      </c>
      <c r="H34" s="216">
        <f t="shared" si="12"/>
        <v>0</v>
      </c>
      <c r="I34" s="220"/>
      <c r="J34" s="109"/>
      <c r="K34" s="109"/>
      <c r="L34" s="109"/>
      <c r="M34" s="109"/>
      <c r="N34" s="141"/>
      <c r="O34" s="142"/>
      <c r="P34" s="142"/>
      <c r="Q34" s="142"/>
      <c r="R34" s="141"/>
      <c r="S34" s="139"/>
      <c r="T34" s="139"/>
      <c r="U34" s="139"/>
      <c r="V34" s="139"/>
      <c r="W34" s="13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</row>
    <row r="35" spans="1:47" ht="14.25" customHeight="1" x14ac:dyDescent="0.3">
      <c r="A35" s="109"/>
      <c r="B35" s="109"/>
      <c r="C35" s="109"/>
      <c r="D35" s="109"/>
      <c r="E35" s="109"/>
      <c r="F35" s="109"/>
      <c r="G35" s="223">
        <f>G22</f>
        <v>0</v>
      </c>
      <c r="H35" s="224">
        <f t="shared" si="12"/>
        <v>0</v>
      </c>
      <c r="I35" s="229"/>
      <c r="J35" s="109"/>
      <c r="K35" s="109"/>
      <c r="L35" s="109"/>
      <c r="M35" s="109"/>
      <c r="N35" s="141"/>
      <c r="O35" s="142"/>
      <c r="P35" s="142"/>
      <c r="Q35" s="142"/>
      <c r="R35" s="141"/>
      <c r="S35" s="139"/>
      <c r="T35" s="139"/>
      <c r="U35" s="139"/>
      <c r="V35" s="139"/>
      <c r="W35" s="13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</row>
    <row r="36" spans="1:47" ht="14.25" customHeight="1" x14ac:dyDescent="0.3">
      <c r="A36" s="109"/>
      <c r="B36" s="109"/>
      <c r="C36" s="109"/>
      <c r="D36" s="109"/>
      <c r="E36" s="109"/>
      <c r="F36" s="109"/>
      <c r="G36" s="215">
        <f t="shared" ref="G36:G41" si="13">G23</f>
        <v>0</v>
      </c>
      <c r="H36" s="216">
        <f t="shared" si="12"/>
        <v>0</v>
      </c>
      <c r="I36" s="220"/>
      <c r="J36" s="109"/>
      <c r="K36" s="109"/>
      <c r="L36" s="109"/>
      <c r="M36" s="109"/>
      <c r="N36" s="141"/>
      <c r="O36" s="142"/>
      <c r="P36" s="142"/>
      <c r="Q36" s="142"/>
      <c r="R36" s="141"/>
      <c r="S36" s="139"/>
      <c r="T36" s="139"/>
      <c r="U36" s="139"/>
      <c r="V36" s="139"/>
      <c r="W36" s="13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</row>
    <row r="37" spans="1:47" ht="14.25" customHeight="1" x14ac:dyDescent="0.3">
      <c r="A37" s="109"/>
      <c r="B37" s="109"/>
      <c r="C37" s="109"/>
      <c r="D37" s="109"/>
      <c r="E37" s="109"/>
      <c r="F37" s="109"/>
      <c r="G37" s="215">
        <f t="shared" si="13"/>
        <v>0</v>
      </c>
      <c r="H37" s="216">
        <f t="shared" si="12"/>
        <v>0</v>
      </c>
      <c r="I37" s="220"/>
      <c r="J37" s="109"/>
      <c r="K37" s="109"/>
      <c r="L37" s="109"/>
      <c r="M37" s="109"/>
      <c r="N37" s="141"/>
      <c r="O37" s="142"/>
      <c r="P37" s="142"/>
      <c r="Q37" s="142"/>
      <c r="R37" s="141"/>
      <c r="S37" s="139"/>
      <c r="T37" s="139"/>
      <c r="U37" s="139"/>
      <c r="V37" s="139"/>
      <c r="W37" s="13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</row>
    <row r="38" spans="1:47" ht="14.25" customHeight="1" x14ac:dyDescent="0.3">
      <c r="A38" s="109"/>
      <c r="B38" s="109"/>
      <c r="C38" s="109"/>
      <c r="D38" s="109"/>
      <c r="E38" s="109"/>
      <c r="F38" s="109"/>
      <c r="G38" s="215">
        <f t="shared" si="13"/>
        <v>0</v>
      </c>
      <c r="H38" s="216">
        <f t="shared" si="12"/>
        <v>0</v>
      </c>
      <c r="I38" s="220"/>
      <c r="J38" s="109"/>
      <c r="K38" s="109"/>
      <c r="L38" s="109"/>
      <c r="M38" s="109"/>
      <c r="N38" s="141"/>
      <c r="O38" s="142"/>
      <c r="P38" s="142"/>
      <c r="Q38" s="142"/>
      <c r="R38" s="141"/>
      <c r="S38" s="139"/>
      <c r="T38" s="139"/>
      <c r="U38" s="139"/>
      <c r="V38" s="139"/>
      <c r="W38" s="13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</row>
    <row r="39" spans="1:47" ht="14.25" customHeight="1" x14ac:dyDescent="0.3">
      <c r="A39" s="109"/>
      <c r="B39" s="109"/>
      <c r="C39" s="109"/>
      <c r="D39" s="109"/>
      <c r="E39" s="109"/>
      <c r="F39" s="109"/>
      <c r="G39" s="215">
        <f t="shared" si="13"/>
        <v>0</v>
      </c>
      <c r="H39" s="216">
        <f t="shared" si="12"/>
        <v>0</v>
      </c>
      <c r="I39" s="220"/>
      <c r="J39" s="109"/>
      <c r="K39" s="109"/>
      <c r="L39" s="109"/>
      <c r="M39" s="109"/>
      <c r="N39" s="140"/>
      <c r="O39" s="139"/>
      <c r="P39" s="139"/>
      <c r="Q39" s="139"/>
      <c r="R39" s="141"/>
      <c r="S39" s="143"/>
      <c r="T39" s="143"/>
      <c r="U39" s="143"/>
      <c r="V39" s="143"/>
      <c r="W39" s="143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</row>
    <row r="40" spans="1:47" ht="14.25" customHeight="1" x14ac:dyDescent="0.3">
      <c r="A40" s="109"/>
      <c r="B40" s="109"/>
      <c r="C40" s="109"/>
      <c r="D40" s="109"/>
      <c r="E40" s="109"/>
      <c r="F40" s="109"/>
      <c r="G40" s="215">
        <f t="shared" si="13"/>
        <v>0</v>
      </c>
      <c r="H40" s="216">
        <f t="shared" si="12"/>
        <v>0</v>
      </c>
      <c r="I40" s="220"/>
      <c r="J40" s="109"/>
      <c r="K40" s="109"/>
      <c r="L40" s="109"/>
      <c r="M40" s="109"/>
      <c r="N40" s="144"/>
      <c r="O40" s="142"/>
      <c r="P40" s="142"/>
      <c r="Q40" s="142"/>
      <c r="R40" s="141"/>
      <c r="S40" s="143"/>
      <c r="T40" s="143"/>
      <c r="U40" s="143"/>
      <c r="V40" s="143"/>
      <c r="W40" s="143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</row>
    <row r="41" spans="1:47" ht="14.25" customHeight="1" x14ac:dyDescent="0.3">
      <c r="A41" s="109"/>
      <c r="B41" s="109"/>
      <c r="C41" s="109"/>
      <c r="D41" s="109"/>
      <c r="E41" s="109"/>
      <c r="F41" s="109"/>
      <c r="G41" s="223">
        <f t="shared" si="13"/>
        <v>0</v>
      </c>
      <c r="H41" s="224">
        <f t="shared" si="12"/>
        <v>0</v>
      </c>
      <c r="I41" s="225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</row>
    <row r="42" spans="1:47" ht="14.25" customHeight="1" x14ac:dyDescent="0.3">
      <c r="A42" s="109"/>
      <c r="B42" s="109"/>
      <c r="C42" s="109"/>
      <c r="D42" s="109"/>
      <c r="E42" s="109"/>
      <c r="F42" s="109"/>
      <c r="G42" s="215">
        <f>L8</f>
        <v>3.4415003787396986E-5</v>
      </c>
      <c r="H42" s="216">
        <f t="shared" si="12"/>
        <v>2.937501919973272E-3</v>
      </c>
      <c r="I42" s="220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</row>
    <row r="43" spans="1:47" ht="14.25" customHeight="1" x14ac:dyDescent="0.3">
      <c r="A43" s="109"/>
      <c r="B43" s="109"/>
      <c r="C43" s="109"/>
      <c r="D43" s="109"/>
      <c r="E43" s="109"/>
      <c r="F43" s="109"/>
      <c r="G43" s="215">
        <f>L13</f>
        <v>7.0304936308539554E-5</v>
      </c>
      <c r="H43" s="216">
        <f t="shared" si="12"/>
        <v>6.0008967793739694E-3</v>
      </c>
      <c r="I43" s="220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</row>
    <row r="44" spans="1:47" ht="14.25" customHeight="1" x14ac:dyDescent="0.3">
      <c r="A44" s="109"/>
      <c r="B44" s="109"/>
      <c r="C44" s="109"/>
      <c r="D44" s="109"/>
      <c r="E44" s="109"/>
      <c r="F44" s="109"/>
      <c r="G44" s="221">
        <f>L18</f>
        <v>1.1417349581487888E-2</v>
      </c>
      <c r="H44" s="222">
        <f t="shared" si="12"/>
        <v>0.97453094946073282</v>
      </c>
      <c r="I44" s="246" t="s">
        <v>248</v>
      </c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</row>
    <row r="45" spans="1:47" ht="14.25" customHeight="1" x14ac:dyDescent="0.3">
      <c r="A45" s="109"/>
      <c r="B45" s="109"/>
      <c r="C45" s="109"/>
      <c r="D45" s="109"/>
      <c r="E45" s="109"/>
      <c r="F45" s="109"/>
      <c r="G45" s="217">
        <f>Q13</f>
        <v>0</v>
      </c>
      <c r="H45" s="216">
        <f t="shared" si="12"/>
        <v>0</v>
      </c>
      <c r="I45" s="220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</row>
    <row r="46" spans="1:47" ht="14.25" customHeight="1" x14ac:dyDescent="0.3">
      <c r="A46" s="109"/>
      <c r="B46" s="109"/>
      <c r="C46" s="109"/>
      <c r="D46" s="109"/>
      <c r="E46" s="109"/>
      <c r="F46" s="109"/>
      <c r="G46" s="217">
        <f>Q14</f>
        <v>1.6027971140387539E-4</v>
      </c>
      <c r="H46" s="216">
        <f t="shared" si="12"/>
        <v>1.3680717947619814E-2</v>
      </c>
      <c r="I46" s="220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</row>
    <row r="47" spans="1:47" ht="14.25" customHeight="1" x14ac:dyDescent="0.3">
      <c r="A47" s="109"/>
      <c r="B47" s="109"/>
      <c r="C47" s="109"/>
      <c r="D47" s="109"/>
      <c r="E47" s="109"/>
      <c r="F47" s="109"/>
      <c r="G47" s="215">
        <f>U18</f>
        <v>3.2745526789901034E-9</v>
      </c>
      <c r="H47" s="216">
        <f t="shared" si="12"/>
        <v>2.7950032610804466E-7</v>
      </c>
      <c r="I47" s="220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</row>
    <row r="48" spans="1:47" ht="14.25" customHeight="1" x14ac:dyDescent="0.3">
      <c r="A48" s="109"/>
      <c r="B48" s="109"/>
      <c r="C48" s="109"/>
      <c r="D48" s="109"/>
      <c r="E48" s="109"/>
      <c r="F48" s="109"/>
      <c r="G48" s="215">
        <f>Z8</f>
        <v>1.2577188821198793E-9</v>
      </c>
      <c r="H48" s="216">
        <f t="shared" si="12"/>
        <v>1.0735293402369908E-7</v>
      </c>
      <c r="I48" s="220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</row>
    <row r="49" spans="1:47" ht="14.25" customHeight="1" x14ac:dyDescent="0.3">
      <c r="A49" s="109"/>
      <c r="B49" s="109"/>
      <c r="C49" s="109"/>
      <c r="D49" s="109"/>
      <c r="E49" s="109"/>
      <c r="F49" s="109"/>
      <c r="G49" s="215">
        <f t="shared" ref="G49:G50" si="14">Z9</f>
        <v>4.5455787404579434E-9</v>
      </c>
      <c r="H49" s="216">
        <f t="shared" si="12"/>
        <v>3.8798909801005823E-7</v>
      </c>
      <c r="I49" s="220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</row>
    <row r="50" spans="1:47" ht="14.25" customHeight="1" x14ac:dyDescent="0.3">
      <c r="A50" s="109"/>
      <c r="B50" s="109"/>
      <c r="C50" s="109"/>
      <c r="D50" s="109"/>
      <c r="E50" s="109"/>
      <c r="F50" s="109"/>
      <c r="G50" s="215">
        <f t="shared" si="14"/>
        <v>4.638890397097657E-8</v>
      </c>
      <c r="H50" s="216">
        <f t="shared" si="12"/>
        <v>3.9595373960150921E-6</v>
      </c>
      <c r="I50" s="220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</row>
    <row r="51" spans="1:47" ht="14.25" customHeight="1" x14ac:dyDescent="0.3">
      <c r="A51" s="109"/>
      <c r="B51" s="109"/>
      <c r="C51" s="109"/>
      <c r="D51" s="109"/>
      <c r="E51" s="109"/>
      <c r="F51" s="109"/>
      <c r="G51" s="215">
        <f>Z13</f>
        <v>2.5693400020448961E-9</v>
      </c>
      <c r="H51" s="216">
        <f t="shared" si="12"/>
        <v>2.1930670807698523E-7</v>
      </c>
      <c r="I51" s="220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</row>
    <row r="52" spans="1:47" ht="14.25" customHeight="1" x14ac:dyDescent="0.3">
      <c r="A52" s="109"/>
      <c r="B52" s="109"/>
      <c r="C52" s="109"/>
      <c r="D52" s="109"/>
      <c r="E52" s="109"/>
      <c r="F52" s="109"/>
      <c r="G52" s="215">
        <f t="shared" ref="G52:G53" si="15">Z14</f>
        <v>9.2859679983640842E-9</v>
      </c>
      <c r="H52" s="216">
        <f t="shared" si="12"/>
        <v>7.9260630022054761E-7</v>
      </c>
      <c r="I52" s="220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</row>
    <row r="53" spans="1:47" ht="14.25" customHeight="1" x14ac:dyDescent="0.3">
      <c r="A53" s="109"/>
      <c r="B53" s="109"/>
      <c r="C53" s="109"/>
      <c r="D53" s="109"/>
      <c r="E53" s="109"/>
      <c r="F53" s="109"/>
      <c r="G53" s="215">
        <f t="shared" si="15"/>
        <v>9.4765903826423572E-8</v>
      </c>
      <c r="H53" s="216">
        <f t="shared" si="12"/>
        <v>8.0887692518594038E-6</v>
      </c>
      <c r="I53" s="220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</row>
    <row r="54" spans="1:47" ht="14.25" customHeight="1" x14ac:dyDescent="0.3">
      <c r="A54" s="109"/>
      <c r="B54" s="109"/>
      <c r="C54" s="109"/>
      <c r="D54" s="109"/>
      <c r="E54" s="109"/>
      <c r="F54" s="109"/>
      <c r="G54" s="215">
        <f>Z18</f>
        <v>4.1725452773768054E-7</v>
      </c>
      <c r="H54" s="216">
        <f t="shared" si="12"/>
        <v>3.5614872627032287E-5</v>
      </c>
      <c r="I54" s="220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</row>
    <row r="55" spans="1:47" ht="14.25" customHeight="1" x14ac:dyDescent="0.3">
      <c r="A55" s="109"/>
      <c r="B55" s="109"/>
      <c r="C55" s="109"/>
      <c r="D55" s="109"/>
      <c r="E55" s="109"/>
      <c r="F55" s="109"/>
      <c r="G55" s="215">
        <f t="shared" ref="G55:G56" si="16">Z19</f>
        <v>1.508018475040625E-6</v>
      </c>
      <c r="H55" s="216">
        <f t="shared" si="12"/>
        <v>1.2871732321032686E-4</v>
      </c>
      <c r="I55" s="220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</row>
    <row r="56" spans="1:47" ht="14.25" customHeight="1" x14ac:dyDescent="0.3">
      <c r="A56" s="109"/>
      <c r="B56" s="109"/>
      <c r="C56" s="109"/>
      <c r="D56" s="109"/>
      <c r="E56" s="109"/>
      <c r="F56" s="109"/>
      <c r="G56" s="215">
        <f t="shared" si="16"/>
        <v>1.5389750836891333E-5</v>
      </c>
      <c r="H56" s="216">
        <f t="shared" si="12"/>
        <v>1.3135963288149872E-3</v>
      </c>
      <c r="I56" s="220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</row>
    <row r="57" spans="1:47" ht="14.25" customHeight="1" x14ac:dyDescent="0.3">
      <c r="A57" s="109"/>
      <c r="B57" s="109"/>
      <c r="C57" s="109"/>
      <c r="D57" s="109"/>
      <c r="E57" s="109"/>
      <c r="F57" s="109"/>
      <c r="G57" s="215">
        <f>AE6</f>
        <v>0</v>
      </c>
      <c r="H57" s="216">
        <f t="shared" si="12"/>
        <v>0</v>
      </c>
      <c r="I57" s="220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</row>
    <row r="58" spans="1:47" ht="14.25" customHeight="1" x14ac:dyDescent="0.3">
      <c r="A58" s="109"/>
      <c r="B58" s="109"/>
      <c r="C58" s="109"/>
      <c r="D58" s="109"/>
      <c r="E58" s="109"/>
      <c r="F58" s="109"/>
      <c r="G58" s="215">
        <f>AJ22</f>
        <v>3.8516728958250225E-8</v>
      </c>
      <c r="H58" s="216">
        <f t="shared" si="12"/>
        <v>3.2876057769717258E-6</v>
      </c>
      <c r="I58" s="220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</row>
    <row r="59" spans="1:47" ht="14.25" customHeight="1" x14ac:dyDescent="0.3">
      <c r="A59" s="109"/>
      <c r="B59" s="109"/>
      <c r="C59" s="109"/>
      <c r="D59" s="109"/>
      <c r="E59" s="109"/>
      <c r="F59" s="109"/>
      <c r="G59" s="215">
        <f t="shared" ref="G59:G64" si="17">AJ23</f>
        <v>0</v>
      </c>
      <c r="H59" s="216">
        <f t="shared" si="12"/>
        <v>0</v>
      </c>
      <c r="I59" s="220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</row>
    <row r="60" spans="1:47" ht="14.25" customHeight="1" x14ac:dyDescent="0.3">
      <c r="A60" s="109"/>
      <c r="B60" s="109"/>
      <c r="C60" s="109"/>
      <c r="D60" s="109"/>
      <c r="E60" s="109"/>
      <c r="F60" s="109"/>
      <c r="G60" s="215">
        <f t="shared" si="17"/>
        <v>2.0989811047808535E-10</v>
      </c>
      <c r="H60" s="216">
        <f t="shared" si="12"/>
        <v>1.7915909768225337E-8</v>
      </c>
      <c r="I60" s="220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</row>
    <row r="61" spans="1:47" ht="14.25" customHeight="1" x14ac:dyDescent="0.3">
      <c r="A61" s="109"/>
      <c r="B61" s="109"/>
      <c r="C61" s="109"/>
      <c r="D61" s="109"/>
      <c r="E61" s="109"/>
      <c r="F61" s="109"/>
      <c r="G61" s="215">
        <f t="shared" si="17"/>
        <v>1.915910294695557E-8</v>
      </c>
      <c r="H61" s="216">
        <f t="shared" si="12"/>
        <v>1.6353303936656153E-6</v>
      </c>
      <c r="I61" s="220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</row>
    <row r="62" spans="1:47" ht="14.25" customHeight="1" x14ac:dyDescent="0.3">
      <c r="A62" s="109"/>
      <c r="B62" s="109"/>
      <c r="C62" s="109"/>
      <c r="D62" s="109"/>
      <c r="E62" s="109"/>
      <c r="F62" s="109"/>
      <c r="G62" s="215">
        <f t="shared" si="17"/>
        <v>3.8657973236812782E-7</v>
      </c>
      <c r="H62" s="216">
        <f t="shared" si="12"/>
        <v>3.2996617204208641E-5</v>
      </c>
      <c r="I62" s="220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</row>
    <row r="63" spans="1:47" ht="14.25" customHeight="1" x14ac:dyDescent="0.3">
      <c r="A63" s="109"/>
      <c r="B63" s="109"/>
      <c r="C63" s="109"/>
      <c r="D63" s="109"/>
      <c r="E63" s="109"/>
      <c r="F63" s="109"/>
      <c r="G63" s="215">
        <f t="shared" si="17"/>
        <v>2.7547448015840635E-9</v>
      </c>
      <c r="H63" s="216">
        <f t="shared" si="12"/>
        <v>2.3513198469130921E-7</v>
      </c>
      <c r="I63" s="220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</row>
    <row r="64" spans="1:47" ht="14.25" customHeight="1" x14ac:dyDescent="0.3">
      <c r="A64" s="109"/>
      <c r="B64" s="109"/>
      <c r="C64" s="109"/>
      <c r="D64" s="109"/>
      <c r="E64" s="109"/>
      <c r="F64" s="109"/>
      <c r="G64" s="215">
        <f t="shared" si="17"/>
        <v>2.5970722187311937E-10</v>
      </c>
      <c r="H64" s="216">
        <f t="shared" si="12"/>
        <v>2.2167379890354346E-8</v>
      </c>
      <c r="I64" s="220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</row>
    <row r="65" spans="1:47" ht="14.25" customHeight="1" x14ac:dyDescent="0.3">
      <c r="A65" s="109"/>
      <c r="B65" s="109"/>
      <c r="C65" s="109"/>
      <c r="D65" s="109"/>
      <c r="E65" s="109"/>
      <c r="F65" s="109"/>
      <c r="G65" s="223">
        <f>AO13</f>
        <v>1.5439914529073031E-5</v>
      </c>
      <c r="H65" s="224">
        <f t="shared" si="12"/>
        <v>1.3178780642756889E-3</v>
      </c>
      <c r="I65" s="225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</row>
    <row r="66" spans="1:47" ht="14.25" customHeight="1" x14ac:dyDescent="0.3">
      <c r="A66" s="109"/>
      <c r="B66" s="109"/>
      <c r="C66" s="109"/>
      <c r="D66" s="109"/>
      <c r="E66" s="109"/>
      <c r="F66" s="109"/>
      <c r="G66" s="223">
        <f t="shared" ref="G66:G67" si="18">AO14</f>
        <v>0</v>
      </c>
      <c r="H66" s="224">
        <f t="shared" si="12"/>
        <v>0</v>
      </c>
      <c r="I66" s="22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</row>
    <row r="67" spans="1:47" ht="14.25" customHeight="1" x14ac:dyDescent="0.3">
      <c r="A67" s="109"/>
      <c r="B67" s="109"/>
      <c r="C67" s="109"/>
      <c r="D67" s="109"/>
      <c r="E67" s="109"/>
      <c r="F67" s="109"/>
      <c r="G67" s="215">
        <f t="shared" si="18"/>
        <v>0</v>
      </c>
      <c r="H67" s="216">
        <f t="shared" si="12"/>
        <v>0</v>
      </c>
      <c r="I67" s="220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</row>
    <row r="68" spans="1:47" ht="14.25" customHeight="1" x14ac:dyDescent="0.3">
      <c r="A68" s="109"/>
      <c r="B68" s="109"/>
      <c r="C68" s="109"/>
      <c r="D68" s="109"/>
      <c r="E68" s="109"/>
      <c r="F68" s="109"/>
      <c r="G68" s="215">
        <f>AT6</f>
        <v>2.0882100759133759E-10</v>
      </c>
      <c r="H68" s="216">
        <f t="shared" si="12"/>
        <v>1.7823973361146138E-8</v>
      </c>
      <c r="I68" s="220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</row>
    <row r="69" spans="1:47" ht="14.25" customHeight="1" x14ac:dyDescent="0.3">
      <c r="A69" s="109"/>
      <c r="B69" s="109"/>
      <c r="C69" s="109"/>
      <c r="D69" s="109"/>
      <c r="E69" s="109"/>
      <c r="F69" s="109"/>
      <c r="G69" s="215">
        <f>AT13</f>
        <v>3.9858042448678945E-11</v>
      </c>
      <c r="H69" s="216">
        <f t="shared" si="12"/>
        <v>3.4020939513087373E-9</v>
      </c>
      <c r="I69" s="220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</row>
    <row r="70" spans="1:47" ht="14.25" customHeight="1" x14ac:dyDescent="0.3">
      <c r="A70" s="109"/>
      <c r="B70" s="109"/>
      <c r="C70" s="109"/>
      <c r="D70" s="109"/>
      <c r="E70" s="109"/>
      <c r="F70" s="109"/>
      <c r="G70" s="215">
        <f>AT14</f>
        <v>1.4653022635697431E-11</v>
      </c>
      <c r="H70" s="216">
        <f t="shared" si="12"/>
        <v>1.2507126947211252E-9</v>
      </c>
      <c r="I70" s="220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</row>
    <row r="71" spans="1:47" ht="14.25" customHeight="1" x14ac:dyDescent="0.3">
      <c r="A71" s="109"/>
      <c r="B71" s="109"/>
      <c r="C71" s="109"/>
      <c r="D71" s="109"/>
      <c r="E71" s="109"/>
      <c r="F71" s="109"/>
      <c r="G71" s="218">
        <f>SUM(G32:G70)</f>
        <v>1.1715738312678321E-2</v>
      </c>
      <c r="H71" s="219">
        <f>SUM(H32:H70)</f>
        <v>1</v>
      </c>
      <c r="I71" s="110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</row>
    <row r="72" spans="1:47" ht="14.25" customHeight="1" x14ac:dyDescent="0.3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</row>
    <row r="73" spans="1:47" ht="14.25" customHeight="1" x14ac:dyDescent="0.3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</row>
    <row r="74" spans="1:47" ht="14.25" customHeight="1" x14ac:dyDescent="0.3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</row>
    <row r="75" spans="1:47" ht="14.25" customHeight="1" x14ac:dyDescent="0.3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</row>
    <row r="76" spans="1:47" ht="14.25" customHeight="1" x14ac:dyDescent="0.3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</row>
    <row r="77" spans="1:47" ht="14.25" customHeight="1" x14ac:dyDescent="0.3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</row>
    <row r="78" spans="1:47" ht="14.25" customHeight="1" x14ac:dyDescent="0.3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</row>
    <row r="79" spans="1:47" ht="14.25" customHeight="1" x14ac:dyDescent="0.3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</row>
    <row r="80" spans="1:47" ht="14.25" customHeight="1" x14ac:dyDescent="0.3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</row>
    <row r="81" spans="1:47" ht="14.25" customHeight="1" x14ac:dyDescent="0.3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</row>
    <row r="82" spans="1:47" ht="14.25" customHeight="1" x14ac:dyDescent="0.3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</row>
    <row r="83" spans="1:47" ht="14.25" customHeight="1" x14ac:dyDescent="0.3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</row>
    <row r="84" spans="1:47" ht="14.25" customHeight="1" x14ac:dyDescent="0.3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</row>
    <row r="85" spans="1:47" ht="14.25" customHeight="1" x14ac:dyDescent="0.3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</row>
    <row r="86" spans="1:47" ht="14.25" customHeight="1" x14ac:dyDescent="0.3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</row>
    <row r="87" spans="1:47" ht="14.25" customHeight="1" x14ac:dyDescent="0.3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</row>
    <row r="88" spans="1:47" ht="14.25" customHeight="1" x14ac:dyDescent="0.3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</row>
    <row r="89" spans="1:47" ht="14.25" customHeight="1" x14ac:dyDescent="0.3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</row>
    <row r="90" spans="1:47" ht="14.25" customHeight="1" x14ac:dyDescent="0.3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</row>
    <row r="91" spans="1:47" ht="14.25" customHeight="1" x14ac:dyDescent="0.3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</row>
    <row r="92" spans="1:47" ht="14.25" customHeight="1" x14ac:dyDescent="0.3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</row>
    <row r="93" spans="1:47" ht="14.25" customHeight="1" x14ac:dyDescent="0.3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</row>
    <row r="94" spans="1:47" ht="14.25" customHeight="1" x14ac:dyDescent="0.3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</row>
    <row r="95" spans="1:47" ht="14.25" customHeight="1" x14ac:dyDescent="0.3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</row>
    <row r="96" spans="1:47" ht="14.25" customHeight="1" x14ac:dyDescent="0.3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</row>
    <row r="97" spans="1:47" ht="14.25" customHeight="1" x14ac:dyDescent="0.3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</row>
    <row r="98" spans="1:47" ht="14.25" customHeight="1" x14ac:dyDescent="0.3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</row>
    <row r="99" spans="1:47" ht="14.25" customHeight="1" x14ac:dyDescent="0.3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</row>
    <row r="100" spans="1:47" ht="14.25" customHeight="1" x14ac:dyDescent="0.3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</row>
    <row r="101" spans="1:47" ht="14.25" customHeight="1" x14ac:dyDescent="0.3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</row>
    <row r="102" spans="1:47" ht="14.25" customHeight="1" x14ac:dyDescent="0.3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</row>
    <row r="103" spans="1:47" ht="14.25" customHeight="1" x14ac:dyDescent="0.3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</row>
    <row r="104" spans="1:47" ht="14.25" customHeight="1" x14ac:dyDescent="0.3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</row>
    <row r="105" spans="1:47" ht="14.25" customHeight="1" x14ac:dyDescent="0.3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</row>
    <row r="106" spans="1:47" ht="14.25" customHeight="1" x14ac:dyDescent="0.3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</row>
    <row r="107" spans="1:47" ht="14.25" customHeight="1" x14ac:dyDescent="0.3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</row>
    <row r="108" spans="1:47" ht="14.25" customHeight="1" x14ac:dyDescent="0.3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</row>
    <row r="109" spans="1:47" ht="14.25" customHeight="1" x14ac:dyDescent="0.3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</row>
    <row r="110" spans="1:47" ht="14.25" customHeight="1" x14ac:dyDescent="0.3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</row>
    <row r="111" spans="1:47" ht="14.25" customHeight="1" x14ac:dyDescent="0.3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</row>
    <row r="112" spans="1:47" ht="14.25" customHeight="1" x14ac:dyDescent="0.3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</row>
    <row r="113" spans="1:47" ht="14.25" customHeight="1" x14ac:dyDescent="0.3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</row>
    <row r="114" spans="1:47" ht="14.25" customHeight="1" x14ac:dyDescent="0.3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</row>
    <row r="115" spans="1:47" ht="14.25" customHeight="1" x14ac:dyDescent="0.3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</row>
    <row r="116" spans="1:47" ht="14.25" customHeight="1" x14ac:dyDescent="0.3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</row>
    <row r="117" spans="1:47" ht="14.25" customHeight="1" x14ac:dyDescent="0.3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</row>
    <row r="118" spans="1:47" ht="14.25" customHeight="1" x14ac:dyDescent="0.3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</row>
    <row r="119" spans="1:47" ht="14.25" customHeight="1" x14ac:dyDescent="0.3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</row>
    <row r="120" spans="1:47" ht="14.25" customHeight="1" x14ac:dyDescent="0.3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</row>
    <row r="121" spans="1:47" ht="14.25" customHeight="1" x14ac:dyDescent="0.3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</row>
    <row r="122" spans="1:47" ht="14.25" customHeight="1" x14ac:dyDescent="0.3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</row>
    <row r="123" spans="1:47" ht="14.25" customHeight="1" x14ac:dyDescent="0.3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</row>
    <row r="124" spans="1:47" ht="14.25" customHeight="1" x14ac:dyDescent="0.3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</row>
    <row r="125" spans="1:47" ht="14.25" customHeight="1" x14ac:dyDescent="0.3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</row>
    <row r="126" spans="1:47" ht="14.25" customHeight="1" x14ac:dyDescent="0.3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</row>
    <row r="127" spans="1:47" ht="14.25" customHeight="1" x14ac:dyDescent="0.3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</row>
    <row r="128" spans="1:47" ht="14.25" customHeight="1" x14ac:dyDescent="0.3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</row>
    <row r="129" spans="1:47" ht="14.25" customHeight="1" x14ac:dyDescent="0.3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</row>
    <row r="130" spans="1:47" ht="14.25" customHeight="1" x14ac:dyDescent="0.3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</row>
    <row r="131" spans="1:47" ht="14.25" customHeight="1" x14ac:dyDescent="0.3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</row>
    <row r="132" spans="1:47" ht="14.25" customHeight="1" x14ac:dyDescent="0.3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</row>
    <row r="133" spans="1:47" ht="14.25" customHeight="1" x14ac:dyDescent="0.3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</row>
    <row r="134" spans="1:47" ht="14.25" customHeight="1" x14ac:dyDescent="0.3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</row>
    <row r="135" spans="1:47" ht="14.25" customHeight="1" x14ac:dyDescent="0.3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</row>
    <row r="136" spans="1:47" ht="14.25" customHeight="1" x14ac:dyDescent="0.3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</row>
    <row r="137" spans="1:47" ht="14.25" customHeight="1" x14ac:dyDescent="0.3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</row>
    <row r="138" spans="1:47" ht="14.25" customHeight="1" x14ac:dyDescent="0.3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</row>
    <row r="139" spans="1:47" ht="14.25" customHeight="1" x14ac:dyDescent="0.3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</row>
    <row r="140" spans="1:47" ht="14.25" customHeight="1" x14ac:dyDescent="0.3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</row>
    <row r="141" spans="1:47" ht="14.25" customHeight="1" x14ac:dyDescent="0.3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</row>
    <row r="142" spans="1:47" ht="14.25" customHeight="1" x14ac:dyDescent="0.3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</row>
    <row r="143" spans="1:47" ht="14.25" customHeight="1" x14ac:dyDescent="0.3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</row>
    <row r="144" spans="1:47" ht="14.25" customHeight="1" x14ac:dyDescent="0.3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</row>
    <row r="145" spans="1:47" ht="14.25" customHeight="1" x14ac:dyDescent="0.3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</row>
    <row r="146" spans="1:47" ht="14.25" customHeight="1" x14ac:dyDescent="0.3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</row>
    <row r="147" spans="1:47" ht="14.25" customHeight="1" x14ac:dyDescent="0.3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</row>
    <row r="148" spans="1:47" ht="14.25" customHeight="1" x14ac:dyDescent="0.3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</row>
    <row r="149" spans="1:47" ht="14.25" customHeight="1" x14ac:dyDescent="0.3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</row>
    <row r="150" spans="1:47" ht="14.25" customHeight="1" x14ac:dyDescent="0.3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</row>
    <row r="151" spans="1:47" ht="14.25" customHeight="1" x14ac:dyDescent="0.3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</row>
    <row r="152" spans="1:47" ht="14.25" customHeight="1" x14ac:dyDescent="0.3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</row>
    <row r="153" spans="1:47" ht="14.25" customHeight="1" x14ac:dyDescent="0.3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</row>
    <row r="154" spans="1:47" ht="14.25" customHeight="1" x14ac:dyDescent="0.3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</row>
    <row r="155" spans="1:47" ht="14.25" customHeight="1" x14ac:dyDescent="0.3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</row>
    <row r="156" spans="1:47" ht="14.25" customHeight="1" x14ac:dyDescent="0.3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</row>
    <row r="157" spans="1:47" ht="14.25" customHeight="1" x14ac:dyDescent="0.3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</row>
    <row r="158" spans="1:47" ht="14.25" customHeight="1" x14ac:dyDescent="0.3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</row>
    <row r="159" spans="1:47" ht="14.25" customHeight="1" x14ac:dyDescent="0.3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</row>
    <row r="160" spans="1:47" ht="14.25" customHeight="1" x14ac:dyDescent="0.3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</row>
    <row r="161" spans="1:47" ht="14.25" customHeight="1" x14ac:dyDescent="0.3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</row>
    <row r="162" spans="1:47" ht="14.25" customHeight="1" x14ac:dyDescent="0.3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</row>
    <row r="163" spans="1:47" ht="14.25" customHeight="1" x14ac:dyDescent="0.3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</row>
    <row r="164" spans="1:47" ht="14.25" customHeight="1" x14ac:dyDescent="0.3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</row>
    <row r="165" spans="1:47" ht="14.25" customHeight="1" x14ac:dyDescent="0.3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</row>
    <row r="166" spans="1:47" ht="14.25" customHeight="1" x14ac:dyDescent="0.3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</row>
    <row r="167" spans="1:47" ht="14.25" customHeight="1" x14ac:dyDescent="0.3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</row>
    <row r="168" spans="1:47" ht="14.25" customHeight="1" x14ac:dyDescent="0.3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</row>
    <row r="169" spans="1:47" ht="14.25" customHeight="1" x14ac:dyDescent="0.3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</row>
    <row r="170" spans="1:47" ht="14.25" customHeight="1" x14ac:dyDescent="0.3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</row>
    <row r="171" spans="1:47" ht="14.25" customHeight="1" x14ac:dyDescent="0.3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</row>
    <row r="172" spans="1:47" ht="14.25" customHeight="1" x14ac:dyDescent="0.3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</row>
    <row r="173" spans="1:47" ht="14.25" customHeight="1" x14ac:dyDescent="0.3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</row>
    <row r="174" spans="1:47" ht="14.25" customHeight="1" x14ac:dyDescent="0.3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</row>
    <row r="175" spans="1:47" ht="14.25" customHeight="1" x14ac:dyDescent="0.3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</row>
    <row r="176" spans="1:47" ht="14.25" customHeight="1" x14ac:dyDescent="0.3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</row>
    <row r="177" spans="1:47" ht="14.25" customHeight="1" x14ac:dyDescent="0.3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</row>
    <row r="178" spans="1:47" ht="14.25" customHeight="1" x14ac:dyDescent="0.3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</row>
    <row r="179" spans="1:47" ht="14.25" customHeight="1" x14ac:dyDescent="0.3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</row>
    <row r="180" spans="1:47" ht="14.25" customHeight="1" x14ac:dyDescent="0.3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</row>
    <row r="181" spans="1:47" ht="14.25" customHeight="1" x14ac:dyDescent="0.3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</row>
    <row r="182" spans="1:47" ht="14.25" customHeight="1" x14ac:dyDescent="0.3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</row>
    <row r="183" spans="1:47" ht="14.25" customHeight="1" x14ac:dyDescent="0.3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</row>
    <row r="184" spans="1:47" ht="14.25" customHeight="1" x14ac:dyDescent="0.3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</row>
    <row r="185" spans="1:47" ht="14.25" customHeight="1" x14ac:dyDescent="0.3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</row>
    <row r="186" spans="1:47" ht="14.25" customHeight="1" x14ac:dyDescent="0.3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</row>
    <row r="187" spans="1:47" ht="14.25" customHeight="1" x14ac:dyDescent="0.3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</row>
    <row r="188" spans="1:47" ht="14.25" customHeight="1" x14ac:dyDescent="0.3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</row>
    <row r="189" spans="1:47" ht="14.25" customHeight="1" x14ac:dyDescent="0.3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</row>
    <row r="190" spans="1:47" ht="14.25" customHeight="1" x14ac:dyDescent="0.3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</row>
    <row r="191" spans="1:47" ht="14.25" customHeight="1" x14ac:dyDescent="0.3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</row>
    <row r="192" spans="1:47" ht="14.25" customHeight="1" x14ac:dyDescent="0.3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</row>
    <row r="193" spans="1:47" ht="14.25" customHeight="1" x14ac:dyDescent="0.3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</row>
    <row r="194" spans="1:47" ht="14.25" customHeight="1" x14ac:dyDescent="0.3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</row>
    <row r="195" spans="1:47" ht="14.25" customHeight="1" x14ac:dyDescent="0.3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</row>
    <row r="196" spans="1:47" ht="14.25" customHeight="1" x14ac:dyDescent="0.3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</row>
    <row r="197" spans="1:47" ht="14.25" customHeight="1" x14ac:dyDescent="0.3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</row>
    <row r="198" spans="1:47" ht="14.25" customHeight="1" x14ac:dyDescent="0.3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</row>
    <row r="199" spans="1:47" ht="14.25" customHeight="1" x14ac:dyDescent="0.3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</row>
    <row r="200" spans="1:47" ht="14.25" customHeight="1" x14ac:dyDescent="0.3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</row>
    <row r="201" spans="1:47" ht="14.25" customHeight="1" x14ac:dyDescent="0.3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</row>
    <row r="202" spans="1:47" ht="14.25" customHeight="1" x14ac:dyDescent="0.3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</row>
    <row r="203" spans="1:47" ht="14.25" customHeight="1" x14ac:dyDescent="0.3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</row>
    <row r="204" spans="1:47" ht="14.25" customHeight="1" x14ac:dyDescent="0.3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</row>
    <row r="205" spans="1:47" ht="14.25" customHeight="1" x14ac:dyDescent="0.3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</row>
    <row r="206" spans="1:47" ht="14.25" customHeight="1" x14ac:dyDescent="0.3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</row>
    <row r="207" spans="1:47" ht="14.25" customHeight="1" x14ac:dyDescent="0.3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</row>
    <row r="208" spans="1:47" ht="14.25" customHeight="1" x14ac:dyDescent="0.3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</row>
    <row r="209" spans="1:47" ht="14.25" customHeight="1" x14ac:dyDescent="0.3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</row>
    <row r="210" spans="1:47" ht="14.25" customHeight="1" x14ac:dyDescent="0.3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</row>
    <row r="211" spans="1:47" ht="14.25" customHeight="1" x14ac:dyDescent="0.3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</row>
    <row r="212" spans="1:47" ht="14.25" customHeight="1" x14ac:dyDescent="0.3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</row>
    <row r="213" spans="1:47" ht="14.25" customHeight="1" x14ac:dyDescent="0.3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</row>
    <row r="214" spans="1:47" ht="14.25" customHeight="1" x14ac:dyDescent="0.3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</row>
    <row r="215" spans="1:47" ht="14.25" customHeight="1" x14ac:dyDescent="0.3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</row>
    <row r="216" spans="1:47" ht="14.25" customHeight="1" x14ac:dyDescent="0.3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</row>
    <row r="217" spans="1:47" ht="14.25" customHeight="1" x14ac:dyDescent="0.3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</row>
    <row r="218" spans="1:47" ht="14.25" customHeight="1" x14ac:dyDescent="0.3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</row>
    <row r="219" spans="1:47" ht="14.25" customHeight="1" x14ac:dyDescent="0.3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</row>
    <row r="220" spans="1:47" ht="14.25" customHeight="1" x14ac:dyDescent="0.3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</row>
    <row r="221" spans="1:47" ht="14.25" customHeight="1" x14ac:dyDescent="0.3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</row>
    <row r="222" spans="1:47" ht="14.25" customHeight="1" x14ac:dyDescent="0.3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</row>
    <row r="223" spans="1:47" ht="14.25" customHeight="1" x14ac:dyDescent="0.3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</row>
    <row r="224" spans="1:47" ht="14.25" customHeight="1" x14ac:dyDescent="0.3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</row>
    <row r="225" spans="1:47" ht="14.25" customHeight="1" x14ac:dyDescent="0.3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</row>
    <row r="226" spans="1:47" ht="14.25" customHeight="1" x14ac:dyDescent="0.3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</row>
    <row r="227" spans="1:47" ht="14.25" customHeight="1" x14ac:dyDescent="0.3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</row>
    <row r="228" spans="1:47" ht="14.25" customHeight="1" x14ac:dyDescent="0.3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</row>
    <row r="229" spans="1:47" ht="14.25" customHeight="1" x14ac:dyDescent="0.3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</row>
    <row r="230" spans="1:47" ht="14.25" customHeight="1" x14ac:dyDescent="0.3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</row>
    <row r="231" spans="1:47" ht="14.25" customHeight="1" x14ac:dyDescent="0.3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</row>
    <row r="232" spans="1:47" ht="14.25" customHeight="1" x14ac:dyDescent="0.3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</row>
    <row r="233" spans="1:47" ht="14.25" customHeight="1" x14ac:dyDescent="0.3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</row>
    <row r="234" spans="1:47" ht="14.25" customHeight="1" x14ac:dyDescent="0.3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</row>
    <row r="235" spans="1:47" ht="14.25" customHeight="1" x14ac:dyDescent="0.3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</row>
    <row r="236" spans="1:47" ht="14.25" customHeight="1" x14ac:dyDescent="0.3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</row>
    <row r="237" spans="1:47" ht="14.25" customHeight="1" x14ac:dyDescent="0.3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</row>
    <row r="238" spans="1:47" ht="14.25" customHeight="1" x14ac:dyDescent="0.3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</row>
    <row r="239" spans="1:47" ht="14.25" customHeight="1" x14ac:dyDescent="0.3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</row>
    <row r="240" spans="1:47" ht="14.25" customHeight="1" x14ac:dyDescent="0.3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</row>
    <row r="241" spans="1:47" ht="14.25" customHeight="1" x14ac:dyDescent="0.3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</row>
    <row r="242" spans="1:47" ht="14.25" customHeight="1" x14ac:dyDescent="0.3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</row>
    <row r="243" spans="1:47" ht="14.25" customHeight="1" x14ac:dyDescent="0.3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</row>
    <row r="244" spans="1:47" ht="14.25" customHeight="1" x14ac:dyDescent="0.3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</row>
    <row r="245" spans="1:47" ht="14.25" customHeight="1" x14ac:dyDescent="0.3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</row>
    <row r="246" spans="1:47" ht="14.25" customHeight="1" x14ac:dyDescent="0.3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</row>
    <row r="247" spans="1:47" ht="14.25" customHeight="1" x14ac:dyDescent="0.3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</row>
    <row r="248" spans="1:47" ht="14.25" customHeight="1" x14ac:dyDescent="0.3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</row>
    <row r="249" spans="1:47" ht="14.25" customHeight="1" x14ac:dyDescent="0.3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</row>
    <row r="250" spans="1:47" ht="14.25" customHeight="1" x14ac:dyDescent="0.3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</row>
    <row r="251" spans="1:47" ht="14.25" customHeight="1" x14ac:dyDescent="0.3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</row>
    <row r="252" spans="1:47" ht="14.25" customHeight="1" x14ac:dyDescent="0.3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</row>
    <row r="253" spans="1:47" ht="14.25" customHeight="1" x14ac:dyDescent="0.3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</row>
    <row r="254" spans="1:47" ht="14.25" customHeight="1" x14ac:dyDescent="0.3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</row>
    <row r="255" spans="1:47" ht="14.25" customHeight="1" x14ac:dyDescent="0.3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</row>
    <row r="256" spans="1:47" ht="14.25" customHeight="1" x14ac:dyDescent="0.3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</row>
    <row r="257" spans="1:47" ht="14.25" customHeight="1" x14ac:dyDescent="0.3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</row>
    <row r="258" spans="1:47" ht="14.25" customHeight="1" x14ac:dyDescent="0.3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</row>
    <row r="259" spans="1:47" ht="14.25" customHeight="1" x14ac:dyDescent="0.3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</row>
    <row r="260" spans="1:47" ht="14.25" customHeight="1" x14ac:dyDescent="0.3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</row>
    <row r="261" spans="1:47" ht="14.25" customHeight="1" x14ac:dyDescent="0.3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</row>
    <row r="262" spans="1:47" ht="14.25" customHeight="1" x14ac:dyDescent="0.3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</row>
    <row r="263" spans="1:47" ht="14.25" customHeight="1" x14ac:dyDescent="0.3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</row>
    <row r="264" spans="1:47" ht="14.25" customHeight="1" x14ac:dyDescent="0.3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</row>
    <row r="265" spans="1:47" ht="14.25" customHeight="1" x14ac:dyDescent="0.3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</row>
    <row r="266" spans="1:47" ht="14.25" customHeight="1" x14ac:dyDescent="0.3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</row>
    <row r="267" spans="1:47" ht="14.25" customHeight="1" x14ac:dyDescent="0.3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</row>
    <row r="268" spans="1:47" ht="14.25" customHeight="1" x14ac:dyDescent="0.3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</row>
    <row r="269" spans="1:47" ht="14.25" customHeight="1" x14ac:dyDescent="0.3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</row>
    <row r="270" spans="1:47" ht="14.25" customHeight="1" x14ac:dyDescent="0.3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</row>
    <row r="271" spans="1:47" ht="14.25" customHeight="1" x14ac:dyDescent="0.3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</row>
    <row r="272" spans="1:47" ht="14.25" customHeight="1" x14ac:dyDescent="0.3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</row>
    <row r="273" spans="1:47" ht="14.25" customHeight="1" x14ac:dyDescent="0.3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</row>
    <row r="274" spans="1:47" ht="14.25" customHeight="1" x14ac:dyDescent="0.3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</row>
    <row r="275" spans="1:47" ht="14.25" customHeight="1" x14ac:dyDescent="0.3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</row>
    <row r="276" spans="1:47" ht="14.25" customHeight="1" x14ac:dyDescent="0.3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</row>
    <row r="277" spans="1:47" ht="14.25" customHeight="1" x14ac:dyDescent="0.3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</row>
    <row r="278" spans="1:47" ht="14.25" customHeight="1" x14ac:dyDescent="0.3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</row>
    <row r="279" spans="1:47" ht="14.25" customHeight="1" x14ac:dyDescent="0.3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</row>
    <row r="280" spans="1:47" ht="14.25" customHeight="1" x14ac:dyDescent="0.3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</row>
    <row r="281" spans="1:47" ht="14.25" customHeight="1" x14ac:dyDescent="0.3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</row>
    <row r="282" spans="1:47" ht="14.25" customHeight="1" x14ac:dyDescent="0.3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</row>
    <row r="283" spans="1:47" ht="14.25" customHeight="1" x14ac:dyDescent="0.3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</row>
    <row r="284" spans="1:47" ht="14.25" customHeight="1" x14ac:dyDescent="0.3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</row>
    <row r="285" spans="1:47" ht="14.25" customHeight="1" x14ac:dyDescent="0.3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</row>
    <row r="286" spans="1:47" ht="14.25" customHeight="1" x14ac:dyDescent="0.3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</row>
    <row r="287" spans="1:47" ht="14.25" customHeight="1" x14ac:dyDescent="0.3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</row>
    <row r="288" spans="1:47" ht="14.25" customHeight="1" x14ac:dyDescent="0.3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</row>
    <row r="289" spans="1:47" ht="14.25" customHeight="1" x14ac:dyDescent="0.3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</row>
    <row r="290" spans="1:47" ht="14.25" customHeight="1" x14ac:dyDescent="0.3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</row>
    <row r="291" spans="1:47" ht="14.25" customHeight="1" x14ac:dyDescent="0.3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</row>
    <row r="292" spans="1:47" ht="14.25" customHeight="1" x14ac:dyDescent="0.3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</row>
    <row r="293" spans="1:47" ht="14.25" customHeight="1" x14ac:dyDescent="0.3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</row>
    <row r="294" spans="1:47" ht="14.25" customHeight="1" x14ac:dyDescent="0.3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</row>
    <row r="295" spans="1:47" ht="14.25" customHeight="1" x14ac:dyDescent="0.3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</row>
    <row r="296" spans="1:47" ht="14.25" customHeight="1" x14ac:dyDescent="0.3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</row>
    <row r="297" spans="1:47" ht="14.25" customHeight="1" x14ac:dyDescent="0.3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</row>
    <row r="298" spans="1:47" ht="14.25" customHeight="1" x14ac:dyDescent="0.3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</row>
    <row r="299" spans="1:47" ht="14.25" customHeight="1" x14ac:dyDescent="0.3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</row>
    <row r="300" spans="1:47" ht="14.25" customHeight="1" x14ac:dyDescent="0.3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</row>
    <row r="301" spans="1:47" ht="14.25" customHeight="1" x14ac:dyDescent="0.3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</row>
    <row r="302" spans="1:47" ht="14.25" customHeight="1" x14ac:dyDescent="0.3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</row>
    <row r="303" spans="1:47" ht="14.25" customHeight="1" x14ac:dyDescent="0.3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</row>
    <row r="304" spans="1:47" ht="14.25" customHeight="1" x14ac:dyDescent="0.3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</row>
    <row r="305" spans="1:47" ht="14.25" customHeight="1" x14ac:dyDescent="0.3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</row>
    <row r="306" spans="1:47" ht="14.25" customHeight="1" x14ac:dyDescent="0.3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</row>
    <row r="307" spans="1:47" ht="14.25" customHeight="1" x14ac:dyDescent="0.3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</row>
    <row r="308" spans="1:47" ht="14.25" customHeight="1" x14ac:dyDescent="0.3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</row>
    <row r="309" spans="1:47" ht="14.25" customHeight="1" x14ac:dyDescent="0.3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</row>
    <row r="310" spans="1:47" ht="14.25" customHeight="1" x14ac:dyDescent="0.3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</row>
    <row r="311" spans="1:47" ht="14.25" customHeight="1" x14ac:dyDescent="0.3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</row>
    <row r="312" spans="1:47" ht="14.25" customHeight="1" x14ac:dyDescent="0.3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</row>
    <row r="313" spans="1:47" ht="14.25" customHeight="1" x14ac:dyDescent="0.3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</row>
    <row r="314" spans="1:47" ht="14.25" customHeight="1" x14ac:dyDescent="0.3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</row>
    <row r="315" spans="1:47" ht="14.25" customHeight="1" x14ac:dyDescent="0.3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</row>
    <row r="316" spans="1:47" ht="14.25" customHeight="1" x14ac:dyDescent="0.3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</row>
    <row r="317" spans="1:47" ht="14.25" customHeight="1" x14ac:dyDescent="0.3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</row>
    <row r="318" spans="1:47" ht="14.25" customHeight="1" x14ac:dyDescent="0.3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</row>
    <row r="319" spans="1:47" ht="14.25" customHeight="1" x14ac:dyDescent="0.3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</row>
    <row r="320" spans="1:47" ht="14.25" customHeight="1" x14ac:dyDescent="0.3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</row>
    <row r="321" spans="1:47" ht="14.25" customHeight="1" x14ac:dyDescent="0.3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</row>
    <row r="322" spans="1:47" ht="14.25" customHeight="1" x14ac:dyDescent="0.3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</row>
    <row r="323" spans="1:47" ht="14.25" customHeight="1" x14ac:dyDescent="0.3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</row>
    <row r="324" spans="1:47" ht="14.25" customHeight="1" x14ac:dyDescent="0.3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</row>
    <row r="325" spans="1:47" ht="14.25" customHeight="1" x14ac:dyDescent="0.3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</row>
    <row r="326" spans="1:47" ht="14.25" customHeight="1" x14ac:dyDescent="0.3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</row>
    <row r="327" spans="1:47" ht="14.25" customHeight="1" x14ac:dyDescent="0.3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</row>
    <row r="328" spans="1:47" ht="14.25" customHeight="1" x14ac:dyDescent="0.3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</row>
    <row r="329" spans="1:47" ht="14.25" customHeight="1" x14ac:dyDescent="0.3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</row>
    <row r="330" spans="1:47" ht="14.25" customHeight="1" x14ac:dyDescent="0.3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</row>
    <row r="331" spans="1:47" ht="14.25" customHeight="1" x14ac:dyDescent="0.3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</row>
    <row r="332" spans="1:47" ht="14.25" customHeight="1" x14ac:dyDescent="0.3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</row>
    <row r="333" spans="1:47" ht="14.25" customHeight="1" x14ac:dyDescent="0.3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</row>
    <row r="334" spans="1:47" ht="14.25" customHeight="1" x14ac:dyDescent="0.3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</row>
    <row r="335" spans="1:47" ht="14.25" customHeight="1" x14ac:dyDescent="0.3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</row>
    <row r="336" spans="1:47" ht="14.25" customHeight="1" x14ac:dyDescent="0.3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</row>
    <row r="337" spans="1:47" ht="14.25" customHeight="1" x14ac:dyDescent="0.3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</row>
    <row r="338" spans="1:47" ht="14.25" customHeight="1" x14ac:dyDescent="0.3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</row>
    <row r="339" spans="1:47" ht="14.25" customHeight="1" x14ac:dyDescent="0.3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</row>
    <row r="340" spans="1:47" ht="14.25" customHeight="1" x14ac:dyDescent="0.3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</row>
    <row r="341" spans="1:47" ht="14.25" customHeight="1" x14ac:dyDescent="0.3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</row>
    <row r="342" spans="1:47" ht="14.25" customHeight="1" x14ac:dyDescent="0.3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</row>
    <row r="343" spans="1:47" ht="14.25" customHeight="1" x14ac:dyDescent="0.3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</row>
    <row r="344" spans="1:47" ht="14.25" customHeight="1" x14ac:dyDescent="0.3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</row>
    <row r="345" spans="1:47" ht="14.25" customHeight="1" x14ac:dyDescent="0.3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</row>
    <row r="346" spans="1:47" ht="14.25" customHeight="1" x14ac:dyDescent="0.3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</row>
    <row r="347" spans="1:47" ht="14.25" customHeight="1" x14ac:dyDescent="0.3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</row>
    <row r="348" spans="1:47" ht="14.25" customHeight="1" x14ac:dyDescent="0.3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</row>
    <row r="349" spans="1:47" ht="14.25" customHeight="1" x14ac:dyDescent="0.3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</row>
    <row r="350" spans="1:47" ht="14.25" customHeight="1" x14ac:dyDescent="0.3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</row>
    <row r="351" spans="1:47" ht="14.25" customHeight="1" x14ac:dyDescent="0.3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</row>
    <row r="352" spans="1:47" ht="14.25" customHeight="1" x14ac:dyDescent="0.3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</row>
    <row r="353" spans="1:47" ht="14.25" customHeight="1" x14ac:dyDescent="0.3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</row>
    <row r="354" spans="1:47" ht="14.25" customHeight="1" x14ac:dyDescent="0.3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</row>
    <row r="355" spans="1:47" ht="14.25" customHeight="1" x14ac:dyDescent="0.3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</row>
    <row r="356" spans="1:47" ht="14.25" customHeight="1" x14ac:dyDescent="0.3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</row>
    <row r="357" spans="1:47" ht="14.25" customHeight="1" x14ac:dyDescent="0.3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</row>
    <row r="358" spans="1:47" ht="14.25" customHeight="1" x14ac:dyDescent="0.3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</row>
    <row r="359" spans="1:47" ht="14.25" customHeight="1" x14ac:dyDescent="0.3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</row>
    <row r="360" spans="1:47" ht="14.25" customHeight="1" x14ac:dyDescent="0.3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</row>
    <row r="361" spans="1:47" ht="14.25" customHeight="1" x14ac:dyDescent="0.3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</row>
    <row r="362" spans="1:47" ht="14.25" customHeight="1" x14ac:dyDescent="0.3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</row>
    <row r="363" spans="1:47" ht="14.25" customHeight="1" x14ac:dyDescent="0.3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</row>
    <row r="364" spans="1:47" ht="14.25" customHeight="1" x14ac:dyDescent="0.3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</row>
    <row r="365" spans="1:47" ht="14.25" customHeight="1" x14ac:dyDescent="0.3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</row>
    <row r="366" spans="1:47" ht="14.25" customHeight="1" x14ac:dyDescent="0.3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</row>
    <row r="367" spans="1:47" ht="14.25" customHeight="1" x14ac:dyDescent="0.3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</row>
    <row r="368" spans="1:47" ht="14.25" customHeight="1" x14ac:dyDescent="0.3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</row>
    <row r="369" spans="1:47" ht="14.25" customHeight="1" x14ac:dyDescent="0.3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</row>
    <row r="370" spans="1:47" ht="14.25" customHeight="1" x14ac:dyDescent="0.3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</row>
    <row r="371" spans="1:47" ht="14.25" customHeight="1" x14ac:dyDescent="0.3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</row>
    <row r="372" spans="1:47" ht="14.25" customHeight="1" x14ac:dyDescent="0.3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</row>
    <row r="373" spans="1:47" ht="14.25" customHeight="1" x14ac:dyDescent="0.3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</row>
    <row r="374" spans="1:47" ht="14.25" customHeight="1" x14ac:dyDescent="0.3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</row>
    <row r="375" spans="1:47" ht="14.25" customHeight="1" x14ac:dyDescent="0.3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</row>
    <row r="376" spans="1:47" ht="14.25" customHeight="1" x14ac:dyDescent="0.3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</row>
    <row r="377" spans="1:47" ht="14.25" customHeight="1" x14ac:dyDescent="0.3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</row>
    <row r="378" spans="1:47" ht="14.25" customHeight="1" x14ac:dyDescent="0.3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</row>
    <row r="379" spans="1:47" ht="14.25" customHeight="1" x14ac:dyDescent="0.3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</row>
    <row r="380" spans="1:47" ht="14.25" customHeight="1" x14ac:dyDescent="0.3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</row>
    <row r="381" spans="1:47" ht="14.25" customHeight="1" x14ac:dyDescent="0.3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</row>
    <row r="382" spans="1:47" ht="14.25" customHeight="1" x14ac:dyDescent="0.3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</row>
    <row r="383" spans="1:47" ht="14.25" customHeight="1" x14ac:dyDescent="0.3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</row>
    <row r="384" spans="1:47" ht="14.25" customHeight="1" x14ac:dyDescent="0.3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</row>
    <row r="385" spans="1:47" ht="14.25" customHeight="1" x14ac:dyDescent="0.3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</row>
    <row r="386" spans="1:47" ht="14.25" customHeight="1" x14ac:dyDescent="0.3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</row>
    <row r="387" spans="1:47" ht="14.25" customHeight="1" x14ac:dyDescent="0.3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</row>
    <row r="388" spans="1:47" ht="14.25" customHeight="1" x14ac:dyDescent="0.3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</row>
    <row r="389" spans="1:47" ht="14.25" customHeight="1" x14ac:dyDescent="0.3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</row>
    <row r="390" spans="1:47" ht="14.25" customHeight="1" x14ac:dyDescent="0.3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</row>
    <row r="391" spans="1:47" ht="14.25" customHeight="1" x14ac:dyDescent="0.3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</row>
    <row r="392" spans="1:47" ht="14.25" customHeight="1" x14ac:dyDescent="0.3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</row>
    <row r="393" spans="1:47" ht="14.25" customHeight="1" x14ac:dyDescent="0.3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</row>
    <row r="394" spans="1:47" ht="14.25" customHeight="1" x14ac:dyDescent="0.3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</row>
    <row r="395" spans="1:47" ht="14.25" customHeight="1" x14ac:dyDescent="0.3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</row>
    <row r="396" spans="1:47" ht="14.25" customHeight="1" x14ac:dyDescent="0.3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</row>
    <row r="397" spans="1:47" ht="14.25" customHeight="1" x14ac:dyDescent="0.3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</row>
    <row r="398" spans="1:47" ht="14.25" customHeight="1" x14ac:dyDescent="0.3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</row>
    <row r="399" spans="1:47" ht="14.25" customHeight="1" x14ac:dyDescent="0.3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</row>
    <row r="400" spans="1:47" ht="14.25" customHeight="1" x14ac:dyDescent="0.3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</row>
    <row r="401" spans="1:47" ht="14.25" customHeight="1" x14ac:dyDescent="0.3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</row>
    <row r="402" spans="1:47" ht="14.25" customHeight="1" x14ac:dyDescent="0.3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</row>
    <row r="403" spans="1:47" ht="14.25" customHeight="1" x14ac:dyDescent="0.3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</row>
    <row r="404" spans="1:47" ht="14.25" customHeight="1" x14ac:dyDescent="0.3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</row>
    <row r="405" spans="1:47" ht="14.25" customHeight="1" x14ac:dyDescent="0.3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</row>
    <row r="406" spans="1:47" ht="14.25" customHeight="1" x14ac:dyDescent="0.3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</row>
    <row r="407" spans="1:47" ht="14.25" customHeight="1" x14ac:dyDescent="0.3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</row>
    <row r="408" spans="1:47" ht="14.25" customHeight="1" x14ac:dyDescent="0.3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</row>
    <row r="409" spans="1:47" ht="14.25" customHeight="1" x14ac:dyDescent="0.3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</row>
    <row r="410" spans="1:47" ht="14.25" customHeight="1" x14ac:dyDescent="0.3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</row>
    <row r="411" spans="1:47" ht="14.25" customHeight="1" x14ac:dyDescent="0.3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</row>
    <row r="412" spans="1:47" ht="14.25" customHeight="1" x14ac:dyDescent="0.3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</row>
    <row r="413" spans="1:47" ht="14.25" customHeight="1" x14ac:dyDescent="0.3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</row>
    <row r="414" spans="1:47" ht="14.25" customHeight="1" x14ac:dyDescent="0.3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</row>
    <row r="415" spans="1:47" ht="14.25" customHeight="1" x14ac:dyDescent="0.3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</row>
    <row r="416" spans="1:47" ht="14.25" customHeight="1" x14ac:dyDescent="0.3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</row>
    <row r="417" spans="1:47" ht="14.25" customHeight="1" x14ac:dyDescent="0.3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</row>
    <row r="418" spans="1:47" ht="14.25" customHeight="1" x14ac:dyDescent="0.3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</row>
    <row r="419" spans="1:47" ht="14.25" customHeight="1" x14ac:dyDescent="0.3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</row>
    <row r="420" spans="1:47" ht="14.25" customHeight="1" x14ac:dyDescent="0.3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</row>
    <row r="421" spans="1:47" ht="14.25" customHeight="1" x14ac:dyDescent="0.3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</row>
    <row r="422" spans="1:47" ht="14.25" customHeight="1" x14ac:dyDescent="0.3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</row>
    <row r="423" spans="1:47" ht="14.25" customHeight="1" x14ac:dyDescent="0.3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</row>
    <row r="424" spans="1:47" ht="14.25" customHeight="1" x14ac:dyDescent="0.3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</row>
    <row r="425" spans="1:47" ht="14.25" customHeight="1" x14ac:dyDescent="0.3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</row>
    <row r="426" spans="1:47" ht="14.25" customHeight="1" x14ac:dyDescent="0.3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</row>
    <row r="427" spans="1:47" ht="14.25" customHeight="1" x14ac:dyDescent="0.3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</row>
    <row r="428" spans="1:47" ht="14.25" customHeight="1" x14ac:dyDescent="0.3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</row>
    <row r="429" spans="1:47" ht="14.25" customHeight="1" x14ac:dyDescent="0.3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</row>
    <row r="430" spans="1:47" ht="14.25" customHeight="1" x14ac:dyDescent="0.3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</row>
    <row r="431" spans="1:47" ht="14.25" customHeight="1" x14ac:dyDescent="0.3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</row>
    <row r="432" spans="1:47" ht="14.25" customHeight="1" x14ac:dyDescent="0.3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</row>
    <row r="433" spans="1:47" ht="14.25" customHeight="1" x14ac:dyDescent="0.3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</row>
    <row r="434" spans="1:47" ht="14.25" customHeight="1" x14ac:dyDescent="0.3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</row>
    <row r="435" spans="1:47" ht="14.25" customHeight="1" x14ac:dyDescent="0.3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</row>
    <row r="436" spans="1:47" ht="14.25" customHeight="1" x14ac:dyDescent="0.3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</row>
    <row r="437" spans="1:47" ht="14.25" customHeight="1" x14ac:dyDescent="0.3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</row>
    <row r="438" spans="1:47" ht="14.25" customHeight="1" x14ac:dyDescent="0.3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</row>
    <row r="439" spans="1:47" ht="14.25" customHeight="1" x14ac:dyDescent="0.3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</row>
    <row r="440" spans="1:47" ht="14.25" customHeight="1" x14ac:dyDescent="0.3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</row>
    <row r="441" spans="1:47" ht="14.25" customHeight="1" x14ac:dyDescent="0.3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</row>
    <row r="442" spans="1:47" ht="14.25" customHeight="1" x14ac:dyDescent="0.3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</row>
    <row r="443" spans="1:47" ht="14.25" customHeight="1" x14ac:dyDescent="0.3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</row>
    <row r="444" spans="1:47" ht="14.25" customHeight="1" x14ac:dyDescent="0.3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</row>
    <row r="445" spans="1:47" ht="14.25" customHeight="1" x14ac:dyDescent="0.3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</row>
    <row r="446" spans="1:47" ht="14.25" customHeight="1" x14ac:dyDescent="0.3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</row>
    <row r="447" spans="1:47" ht="14.25" customHeight="1" x14ac:dyDescent="0.3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</row>
    <row r="448" spans="1:47" ht="14.25" customHeight="1" x14ac:dyDescent="0.3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</row>
    <row r="449" spans="1:47" ht="14.25" customHeight="1" x14ac:dyDescent="0.3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</row>
    <row r="450" spans="1:47" ht="14.25" customHeight="1" x14ac:dyDescent="0.3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</row>
    <row r="451" spans="1:47" ht="14.25" customHeight="1" x14ac:dyDescent="0.3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</row>
    <row r="452" spans="1:47" ht="14.25" customHeight="1" x14ac:dyDescent="0.3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</row>
    <row r="453" spans="1:47" ht="14.25" customHeight="1" x14ac:dyDescent="0.3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</row>
    <row r="454" spans="1:47" ht="14.25" customHeight="1" x14ac:dyDescent="0.3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</row>
    <row r="455" spans="1:47" ht="14.25" customHeight="1" x14ac:dyDescent="0.3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</row>
    <row r="456" spans="1:47" ht="14.25" customHeight="1" x14ac:dyDescent="0.3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</row>
    <row r="457" spans="1:47" ht="14.25" customHeight="1" x14ac:dyDescent="0.3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</row>
    <row r="458" spans="1:47" ht="14.25" customHeight="1" x14ac:dyDescent="0.3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</row>
    <row r="459" spans="1:47" ht="14.25" customHeight="1" x14ac:dyDescent="0.3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</row>
    <row r="460" spans="1:47" ht="14.25" customHeight="1" x14ac:dyDescent="0.3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</row>
    <row r="461" spans="1:47" ht="14.25" customHeight="1" x14ac:dyDescent="0.3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</row>
    <row r="462" spans="1:47" ht="14.25" customHeight="1" x14ac:dyDescent="0.3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</row>
    <row r="463" spans="1:47" ht="14.25" customHeight="1" x14ac:dyDescent="0.3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</row>
    <row r="464" spans="1:47" ht="14.25" customHeight="1" x14ac:dyDescent="0.3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</row>
    <row r="465" spans="1:47" ht="14.25" customHeight="1" x14ac:dyDescent="0.3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</row>
    <row r="466" spans="1:47" ht="14.25" customHeight="1" x14ac:dyDescent="0.3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</row>
    <row r="467" spans="1:47" ht="14.25" customHeight="1" x14ac:dyDescent="0.3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</row>
    <row r="468" spans="1:47" ht="14.25" customHeight="1" x14ac:dyDescent="0.3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</row>
    <row r="469" spans="1:47" ht="14.25" customHeight="1" x14ac:dyDescent="0.3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</row>
    <row r="470" spans="1:47" ht="14.25" customHeight="1" x14ac:dyDescent="0.3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</row>
    <row r="471" spans="1:47" ht="14.25" customHeight="1" x14ac:dyDescent="0.3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</row>
    <row r="472" spans="1:47" ht="14.25" customHeight="1" x14ac:dyDescent="0.3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</row>
    <row r="473" spans="1:47" ht="14.25" customHeight="1" x14ac:dyDescent="0.3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</row>
    <row r="474" spans="1:47" ht="14.25" customHeight="1" x14ac:dyDescent="0.3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</row>
    <row r="475" spans="1:47" ht="14.25" customHeight="1" x14ac:dyDescent="0.3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</row>
    <row r="476" spans="1:47" ht="14.25" customHeight="1" x14ac:dyDescent="0.3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</row>
    <row r="477" spans="1:47" ht="14.25" customHeight="1" x14ac:dyDescent="0.3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</row>
    <row r="478" spans="1:47" ht="14.25" customHeight="1" x14ac:dyDescent="0.3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</row>
    <row r="479" spans="1:47" ht="14.25" customHeight="1" x14ac:dyDescent="0.3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</row>
    <row r="480" spans="1:47" ht="14.25" customHeight="1" x14ac:dyDescent="0.3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</row>
    <row r="481" spans="1:47" ht="14.25" customHeight="1" x14ac:dyDescent="0.3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</row>
    <row r="482" spans="1:47" ht="14.25" customHeight="1" x14ac:dyDescent="0.3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</row>
    <row r="483" spans="1:47" ht="14.25" customHeight="1" x14ac:dyDescent="0.3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</row>
    <row r="484" spans="1:47" ht="14.25" customHeight="1" x14ac:dyDescent="0.3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</row>
    <row r="485" spans="1:47" ht="14.25" customHeight="1" x14ac:dyDescent="0.3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</row>
    <row r="486" spans="1:47" ht="14.25" customHeight="1" x14ac:dyDescent="0.3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</row>
    <row r="487" spans="1:47" ht="14.25" customHeight="1" x14ac:dyDescent="0.3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</row>
    <row r="488" spans="1:47" ht="14.25" customHeight="1" x14ac:dyDescent="0.3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</row>
    <row r="489" spans="1:47" ht="14.25" customHeight="1" x14ac:dyDescent="0.3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</row>
    <row r="490" spans="1:47" ht="14.25" customHeight="1" x14ac:dyDescent="0.3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</row>
    <row r="491" spans="1:47" ht="14.25" customHeight="1" x14ac:dyDescent="0.3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</row>
    <row r="492" spans="1:47" ht="14.25" customHeight="1" x14ac:dyDescent="0.3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</row>
    <row r="493" spans="1:47" ht="14.25" customHeight="1" x14ac:dyDescent="0.3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</row>
    <row r="494" spans="1:47" ht="14.25" customHeight="1" x14ac:dyDescent="0.3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</row>
    <row r="495" spans="1:47" ht="14.25" customHeight="1" x14ac:dyDescent="0.3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</row>
    <row r="496" spans="1:47" ht="14.25" customHeight="1" x14ac:dyDescent="0.3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</row>
    <row r="497" spans="1:47" ht="14.25" customHeight="1" x14ac:dyDescent="0.3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</row>
    <row r="498" spans="1:47" ht="14.25" customHeight="1" x14ac:dyDescent="0.3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</row>
    <row r="499" spans="1:47" ht="14.25" customHeight="1" x14ac:dyDescent="0.3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</row>
    <row r="500" spans="1:47" ht="14.25" customHeight="1" x14ac:dyDescent="0.3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</row>
    <row r="501" spans="1:47" ht="14.25" customHeight="1" x14ac:dyDescent="0.3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</row>
    <row r="502" spans="1:47" ht="14.25" customHeight="1" x14ac:dyDescent="0.3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</row>
    <row r="503" spans="1:47" ht="14.25" customHeight="1" x14ac:dyDescent="0.3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</row>
    <row r="504" spans="1:47" ht="14.25" customHeight="1" x14ac:dyDescent="0.3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</row>
    <row r="505" spans="1:47" ht="14.25" customHeight="1" x14ac:dyDescent="0.3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</row>
    <row r="506" spans="1:47" ht="14.25" customHeight="1" x14ac:dyDescent="0.3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</row>
    <row r="507" spans="1:47" ht="14.25" customHeight="1" x14ac:dyDescent="0.3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</row>
    <row r="508" spans="1:47" ht="14.25" customHeight="1" x14ac:dyDescent="0.3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</row>
    <row r="509" spans="1:47" ht="14.25" customHeight="1" x14ac:dyDescent="0.3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</row>
    <row r="510" spans="1:47" ht="14.25" customHeight="1" x14ac:dyDescent="0.3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</row>
    <row r="511" spans="1:47" ht="14.25" customHeight="1" x14ac:dyDescent="0.3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</row>
    <row r="512" spans="1:47" ht="14.25" customHeight="1" x14ac:dyDescent="0.3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</row>
    <row r="513" spans="1:47" ht="14.25" customHeight="1" x14ac:dyDescent="0.3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</row>
    <row r="514" spans="1:47" ht="14.25" customHeight="1" x14ac:dyDescent="0.3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</row>
    <row r="515" spans="1:47" ht="14.25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</row>
    <row r="516" spans="1:47" ht="14.25" customHeight="1" x14ac:dyDescent="0.3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</row>
    <row r="517" spans="1:47" ht="14.25" customHeight="1" x14ac:dyDescent="0.3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</row>
    <row r="518" spans="1:47" ht="14.25" customHeight="1" x14ac:dyDescent="0.3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</row>
    <row r="519" spans="1:47" ht="14.25" customHeight="1" x14ac:dyDescent="0.3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</row>
    <row r="520" spans="1:47" ht="14.25" customHeight="1" x14ac:dyDescent="0.3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</row>
    <row r="521" spans="1:47" ht="14.25" customHeight="1" x14ac:dyDescent="0.3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</row>
    <row r="522" spans="1:47" ht="14.25" customHeight="1" x14ac:dyDescent="0.3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</row>
    <row r="523" spans="1:47" ht="14.25" customHeight="1" x14ac:dyDescent="0.3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</row>
    <row r="524" spans="1:47" ht="14.25" customHeight="1" x14ac:dyDescent="0.3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</row>
    <row r="525" spans="1:47" ht="14.25" customHeight="1" x14ac:dyDescent="0.3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</row>
    <row r="526" spans="1:47" ht="14.25" customHeight="1" x14ac:dyDescent="0.3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</row>
    <row r="527" spans="1:47" ht="14.25" customHeight="1" x14ac:dyDescent="0.3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</row>
    <row r="528" spans="1:47" ht="14.25" customHeight="1" x14ac:dyDescent="0.3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</row>
    <row r="529" spans="1:47" ht="14.25" customHeight="1" x14ac:dyDescent="0.3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</row>
    <row r="530" spans="1:47" ht="14.25" customHeight="1" x14ac:dyDescent="0.3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</row>
    <row r="531" spans="1:47" ht="14.25" customHeight="1" x14ac:dyDescent="0.3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</row>
    <row r="532" spans="1:47" ht="14.25" customHeight="1" x14ac:dyDescent="0.3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</row>
    <row r="533" spans="1:47" ht="14.25" customHeight="1" x14ac:dyDescent="0.3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</row>
    <row r="534" spans="1:47" ht="14.25" customHeight="1" x14ac:dyDescent="0.3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</row>
    <row r="535" spans="1:47" ht="14.25" customHeight="1" x14ac:dyDescent="0.3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</row>
    <row r="536" spans="1:47" ht="14.25" customHeight="1" x14ac:dyDescent="0.3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</row>
    <row r="537" spans="1:47" ht="14.25" customHeight="1" x14ac:dyDescent="0.3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</row>
    <row r="538" spans="1:47" ht="14.25" customHeight="1" x14ac:dyDescent="0.3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</row>
    <row r="539" spans="1:47" ht="14.25" customHeight="1" x14ac:dyDescent="0.3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</row>
    <row r="540" spans="1:47" ht="14.25" customHeight="1" x14ac:dyDescent="0.3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</row>
    <row r="541" spans="1:47" ht="14.25" customHeight="1" x14ac:dyDescent="0.3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</row>
    <row r="542" spans="1:47" ht="14.25" customHeight="1" x14ac:dyDescent="0.3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</row>
    <row r="543" spans="1:47" ht="14.25" customHeight="1" x14ac:dyDescent="0.3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</row>
    <row r="544" spans="1:47" ht="14.25" customHeight="1" x14ac:dyDescent="0.3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</row>
    <row r="545" spans="1:47" ht="14.25" customHeight="1" x14ac:dyDescent="0.3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</row>
    <row r="546" spans="1:47" ht="14.25" customHeight="1" x14ac:dyDescent="0.3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</row>
    <row r="547" spans="1:47" ht="14.25" customHeight="1" x14ac:dyDescent="0.3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</row>
    <row r="548" spans="1:47" ht="14.25" customHeight="1" x14ac:dyDescent="0.3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</row>
    <row r="549" spans="1:47" ht="14.25" customHeight="1" x14ac:dyDescent="0.3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</row>
    <row r="550" spans="1:47" ht="14.25" customHeight="1" x14ac:dyDescent="0.3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</row>
    <row r="551" spans="1:47" ht="14.25" customHeight="1" x14ac:dyDescent="0.3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</row>
    <row r="552" spans="1:47" ht="14.25" customHeight="1" x14ac:dyDescent="0.3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</row>
    <row r="553" spans="1:47" ht="14.25" customHeight="1" x14ac:dyDescent="0.3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</row>
    <row r="554" spans="1:47" ht="14.25" customHeight="1" x14ac:dyDescent="0.3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</row>
    <row r="555" spans="1:47" ht="14.25" customHeight="1" x14ac:dyDescent="0.3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</row>
    <row r="556" spans="1:47" ht="14.25" customHeight="1" x14ac:dyDescent="0.3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</row>
    <row r="557" spans="1:47" ht="14.25" customHeight="1" x14ac:dyDescent="0.3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</row>
    <row r="558" spans="1:47" ht="14.25" customHeight="1" x14ac:dyDescent="0.3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</row>
    <row r="559" spans="1:47" ht="14.25" customHeight="1" x14ac:dyDescent="0.3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</row>
    <row r="560" spans="1:47" ht="14.25" customHeight="1" x14ac:dyDescent="0.3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</row>
    <row r="561" spans="1:47" ht="14.25" customHeight="1" x14ac:dyDescent="0.3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</row>
    <row r="562" spans="1:47" ht="14.25" customHeight="1" x14ac:dyDescent="0.3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</row>
    <row r="563" spans="1:47" ht="14.25" customHeight="1" x14ac:dyDescent="0.3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</row>
    <row r="564" spans="1:47" ht="14.25" customHeight="1" x14ac:dyDescent="0.3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</row>
    <row r="565" spans="1:47" ht="14.25" customHeight="1" x14ac:dyDescent="0.3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</row>
    <row r="566" spans="1:47" ht="14.25" customHeight="1" x14ac:dyDescent="0.3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</row>
    <row r="567" spans="1:47" ht="14.25" customHeight="1" x14ac:dyDescent="0.3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</row>
    <row r="568" spans="1:47" ht="14.25" customHeight="1" x14ac:dyDescent="0.3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</row>
    <row r="569" spans="1:47" ht="14.25" customHeight="1" x14ac:dyDescent="0.3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</row>
    <row r="570" spans="1:47" ht="14.25" customHeight="1" x14ac:dyDescent="0.3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</row>
    <row r="571" spans="1:47" ht="14.25" customHeight="1" x14ac:dyDescent="0.3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</row>
    <row r="572" spans="1:47" ht="14.25" customHeight="1" x14ac:dyDescent="0.3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</row>
    <row r="573" spans="1:47" ht="14.25" customHeight="1" x14ac:dyDescent="0.3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  <c r="AO573" s="109"/>
      <c r="AP573" s="109"/>
      <c r="AQ573" s="109"/>
      <c r="AR573" s="109"/>
      <c r="AS573" s="109"/>
      <c r="AT573" s="109"/>
      <c r="AU573" s="109"/>
    </row>
    <row r="574" spans="1:47" ht="14.25" customHeight="1" x14ac:dyDescent="0.3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Q574" s="109"/>
      <c r="AR574" s="109"/>
      <c r="AS574" s="109"/>
      <c r="AT574" s="109"/>
      <c r="AU574" s="109"/>
    </row>
    <row r="575" spans="1:47" ht="14.25" customHeight="1" x14ac:dyDescent="0.3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  <c r="AO575" s="109"/>
      <c r="AP575" s="109"/>
      <c r="AQ575" s="109"/>
      <c r="AR575" s="109"/>
      <c r="AS575" s="109"/>
      <c r="AT575" s="109"/>
      <c r="AU575" s="109"/>
    </row>
    <row r="576" spans="1:47" ht="14.25" customHeight="1" x14ac:dyDescent="0.3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  <c r="AO576" s="109"/>
      <c r="AP576" s="109"/>
      <c r="AQ576" s="109"/>
      <c r="AR576" s="109"/>
      <c r="AS576" s="109"/>
      <c r="AT576" s="109"/>
      <c r="AU576" s="109"/>
    </row>
    <row r="577" spans="1:47" ht="14.25" customHeight="1" x14ac:dyDescent="0.3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</row>
    <row r="578" spans="1:47" ht="14.25" customHeight="1" x14ac:dyDescent="0.3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09"/>
      <c r="AP578" s="109"/>
      <c r="AQ578" s="109"/>
      <c r="AR578" s="109"/>
      <c r="AS578" s="109"/>
      <c r="AT578" s="109"/>
      <c r="AU578" s="109"/>
    </row>
    <row r="579" spans="1:47" ht="14.25" customHeight="1" x14ac:dyDescent="0.3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09"/>
      <c r="AP579" s="109"/>
      <c r="AQ579" s="109"/>
      <c r="AR579" s="109"/>
      <c r="AS579" s="109"/>
      <c r="AT579" s="109"/>
      <c r="AU579" s="109"/>
    </row>
    <row r="580" spans="1:47" ht="14.25" customHeight="1" x14ac:dyDescent="0.3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  <c r="AO580" s="109"/>
      <c r="AP580" s="109"/>
      <c r="AQ580" s="109"/>
      <c r="AR580" s="109"/>
      <c r="AS580" s="109"/>
      <c r="AT580" s="109"/>
      <c r="AU580" s="109"/>
    </row>
    <row r="581" spans="1:47" ht="14.25" customHeight="1" x14ac:dyDescent="0.3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Q581" s="109"/>
      <c r="AR581" s="109"/>
      <c r="AS581" s="109"/>
      <c r="AT581" s="109"/>
      <c r="AU581" s="109"/>
    </row>
    <row r="582" spans="1:47" ht="14.25" customHeight="1" x14ac:dyDescent="0.3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09"/>
      <c r="AP582" s="109"/>
      <c r="AQ582" s="109"/>
      <c r="AR582" s="109"/>
      <c r="AS582" s="109"/>
      <c r="AT582" s="109"/>
      <c r="AU582" s="109"/>
    </row>
    <row r="583" spans="1:47" ht="14.25" customHeight="1" x14ac:dyDescent="0.3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09"/>
      <c r="AP583" s="109"/>
      <c r="AQ583" s="109"/>
      <c r="AR583" s="109"/>
      <c r="AS583" s="109"/>
      <c r="AT583" s="109"/>
      <c r="AU583" s="109"/>
    </row>
    <row r="584" spans="1:47" ht="14.25" customHeight="1" x14ac:dyDescent="0.3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09"/>
      <c r="AP584" s="109"/>
      <c r="AQ584" s="109"/>
      <c r="AR584" s="109"/>
      <c r="AS584" s="109"/>
      <c r="AT584" s="109"/>
      <c r="AU584" s="109"/>
    </row>
    <row r="585" spans="1:47" ht="14.25" customHeight="1" x14ac:dyDescent="0.3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09"/>
      <c r="AP585" s="109"/>
      <c r="AQ585" s="109"/>
      <c r="AR585" s="109"/>
      <c r="AS585" s="109"/>
      <c r="AT585" s="109"/>
      <c r="AU585" s="109"/>
    </row>
    <row r="586" spans="1:47" ht="14.25" customHeight="1" x14ac:dyDescent="0.3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09"/>
      <c r="AP586" s="109"/>
      <c r="AQ586" s="109"/>
      <c r="AR586" s="109"/>
      <c r="AS586" s="109"/>
      <c r="AT586" s="109"/>
      <c r="AU586" s="109"/>
    </row>
    <row r="587" spans="1:47" ht="14.25" customHeight="1" x14ac:dyDescent="0.3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09"/>
      <c r="AP587" s="109"/>
      <c r="AQ587" s="109"/>
      <c r="AR587" s="109"/>
      <c r="AS587" s="109"/>
      <c r="AT587" s="109"/>
      <c r="AU587" s="109"/>
    </row>
    <row r="588" spans="1:47" ht="14.25" customHeight="1" x14ac:dyDescent="0.3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09"/>
      <c r="AP588" s="109"/>
      <c r="AQ588" s="109"/>
      <c r="AR588" s="109"/>
      <c r="AS588" s="109"/>
      <c r="AT588" s="109"/>
      <c r="AU588" s="109"/>
    </row>
    <row r="589" spans="1:47" ht="14.25" customHeight="1" x14ac:dyDescent="0.3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09"/>
      <c r="AP589" s="109"/>
      <c r="AQ589" s="109"/>
      <c r="AR589" s="109"/>
      <c r="AS589" s="109"/>
      <c r="AT589" s="109"/>
      <c r="AU589" s="109"/>
    </row>
    <row r="590" spans="1:47" ht="14.25" customHeight="1" x14ac:dyDescent="0.3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</row>
    <row r="591" spans="1:47" ht="14.25" customHeight="1" x14ac:dyDescent="0.3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</row>
    <row r="592" spans="1:47" ht="14.25" customHeight="1" x14ac:dyDescent="0.3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  <c r="AO592" s="109"/>
      <c r="AP592" s="109"/>
      <c r="AQ592" s="109"/>
      <c r="AR592" s="109"/>
      <c r="AS592" s="109"/>
      <c r="AT592" s="109"/>
      <c r="AU592" s="109"/>
    </row>
    <row r="593" spans="1:47" ht="14.25" customHeight="1" x14ac:dyDescent="0.3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  <c r="AO593" s="109"/>
      <c r="AP593" s="109"/>
      <c r="AQ593" s="109"/>
      <c r="AR593" s="109"/>
      <c r="AS593" s="109"/>
      <c r="AT593" s="109"/>
      <c r="AU593" s="109"/>
    </row>
    <row r="594" spans="1:47" ht="14.25" customHeight="1" x14ac:dyDescent="0.3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09"/>
      <c r="AP594" s="109"/>
      <c r="AQ594" s="109"/>
      <c r="AR594" s="109"/>
      <c r="AS594" s="109"/>
      <c r="AT594" s="109"/>
      <c r="AU594" s="109"/>
    </row>
    <row r="595" spans="1:47" ht="14.25" customHeight="1" x14ac:dyDescent="0.3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  <c r="AO595" s="109"/>
      <c r="AP595" s="109"/>
      <c r="AQ595" s="109"/>
      <c r="AR595" s="109"/>
      <c r="AS595" s="109"/>
      <c r="AT595" s="109"/>
      <c r="AU595" s="109"/>
    </row>
    <row r="596" spans="1:47" ht="14.25" customHeight="1" x14ac:dyDescent="0.3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  <c r="AO596" s="109"/>
      <c r="AP596" s="109"/>
      <c r="AQ596" s="109"/>
      <c r="AR596" s="109"/>
      <c r="AS596" s="109"/>
      <c r="AT596" s="109"/>
      <c r="AU596" s="109"/>
    </row>
    <row r="597" spans="1:47" ht="14.25" customHeight="1" x14ac:dyDescent="0.3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09"/>
      <c r="AP597" s="109"/>
      <c r="AQ597" s="109"/>
      <c r="AR597" s="109"/>
      <c r="AS597" s="109"/>
      <c r="AT597" s="109"/>
      <c r="AU597" s="109"/>
    </row>
    <row r="598" spans="1:47" ht="14.25" customHeight="1" x14ac:dyDescent="0.3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09"/>
      <c r="AP598" s="109"/>
      <c r="AQ598" s="109"/>
      <c r="AR598" s="109"/>
      <c r="AS598" s="109"/>
      <c r="AT598" s="109"/>
      <c r="AU598" s="109"/>
    </row>
    <row r="599" spans="1:47" ht="14.25" customHeight="1" x14ac:dyDescent="0.3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  <c r="AO599" s="109"/>
      <c r="AP599" s="109"/>
      <c r="AQ599" s="109"/>
      <c r="AR599" s="109"/>
      <c r="AS599" s="109"/>
      <c r="AT599" s="109"/>
      <c r="AU599" s="109"/>
    </row>
    <row r="600" spans="1:47" ht="14.25" customHeight="1" x14ac:dyDescent="0.3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</row>
    <row r="601" spans="1:47" ht="14.25" customHeight="1" x14ac:dyDescent="0.3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</row>
    <row r="602" spans="1:47" ht="14.25" customHeight="1" x14ac:dyDescent="0.3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09"/>
      <c r="AP602" s="109"/>
      <c r="AQ602" s="109"/>
      <c r="AR602" s="109"/>
      <c r="AS602" s="109"/>
      <c r="AT602" s="109"/>
      <c r="AU602" s="109"/>
    </row>
    <row r="603" spans="1:47" ht="14.25" customHeight="1" x14ac:dyDescent="0.3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  <c r="AO603" s="109"/>
      <c r="AP603" s="109"/>
      <c r="AQ603" s="109"/>
      <c r="AR603" s="109"/>
      <c r="AS603" s="109"/>
      <c r="AT603" s="109"/>
      <c r="AU603" s="109"/>
    </row>
    <row r="604" spans="1:47" ht="14.25" customHeight="1" x14ac:dyDescent="0.3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  <c r="AO604" s="109"/>
      <c r="AP604" s="109"/>
      <c r="AQ604" s="109"/>
      <c r="AR604" s="109"/>
      <c r="AS604" s="109"/>
      <c r="AT604" s="109"/>
      <c r="AU604" s="109"/>
    </row>
    <row r="605" spans="1:47" ht="14.25" customHeight="1" x14ac:dyDescent="0.3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  <c r="AO605" s="109"/>
      <c r="AP605" s="109"/>
      <c r="AQ605" s="109"/>
      <c r="AR605" s="109"/>
      <c r="AS605" s="109"/>
      <c r="AT605" s="109"/>
      <c r="AU605" s="109"/>
    </row>
    <row r="606" spans="1:47" ht="14.25" customHeight="1" x14ac:dyDescent="0.3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  <c r="AO606" s="109"/>
      <c r="AP606" s="109"/>
      <c r="AQ606" s="109"/>
      <c r="AR606" s="109"/>
      <c r="AS606" s="109"/>
      <c r="AT606" s="109"/>
      <c r="AU606" s="109"/>
    </row>
    <row r="607" spans="1:47" ht="14.25" customHeight="1" x14ac:dyDescent="0.3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109"/>
      <c r="AP607" s="109"/>
      <c r="AQ607" s="109"/>
      <c r="AR607" s="109"/>
      <c r="AS607" s="109"/>
      <c r="AT607" s="109"/>
      <c r="AU607" s="109"/>
    </row>
    <row r="608" spans="1:47" ht="14.25" customHeight="1" x14ac:dyDescent="0.3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</row>
    <row r="609" spans="1:47" ht="14.25" customHeight="1" x14ac:dyDescent="0.3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  <c r="AO609" s="109"/>
      <c r="AP609" s="109"/>
      <c r="AQ609" s="109"/>
      <c r="AR609" s="109"/>
      <c r="AS609" s="109"/>
      <c r="AT609" s="109"/>
      <c r="AU609" s="109"/>
    </row>
    <row r="610" spans="1:47" ht="14.25" customHeight="1" x14ac:dyDescent="0.3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09"/>
      <c r="AP610" s="109"/>
      <c r="AQ610" s="109"/>
      <c r="AR610" s="109"/>
      <c r="AS610" s="109"/>
      <c r="AT610" s="109"/>
      <c r="AU610" s="109"/>
    </row>
    <row r="611" spans="1:47" ht="14.25" customHeight="1" x14ac:dyDescent="0.3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  <c r="AO611" s="109"/>
      <c r="AP611" s="109"/>
      <c r="AQ611" s="109"/>
      <c r="AR611" s="109"/>
      <c r="AS611" s="109"/>
      <c r="AT611" s="109"/>
      <c r="AU611" s="109"/>
    </row>
    <row r="612" spans="1:47" ht="14.25" customHeight="1" x14ac:dyDescent="0.3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09"/>
      <c r="AP612" s="109"/>
      <c r="AQ612" s="109"/>
      <c r="AR612" s="109"/>
      <c r="AS612" s="109"/>
      <c r="AT612" s="109"/>
      <c r="AU612" s="109"/>
    </row>
    <row r="613" spans="1:47" ht="14.25" customHeight="1" x14ac:dyDescent="0.3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</row>
    <row r="614" spans="1:47" ht="14.25" customHeight="1" x14ac:dyDescent="0.3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09"/>
      <c r="AP614" s="109"/>
      <c r="AQ614" s="109"/>
      <c r="AR614" s="109"/>
      <c r="AS614" s="109"/>
      <c r="AT614" s="109"/>
      <c r="AU614" s="109"/>
    </row>
    <row r="615" spans="1:47" ht="14.25" customHeight="1" x14ac:dyDescent="0.3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  <c r="AO615" s="109"/>
      <c r="AP615" s="109"/>
      <c r="AQ615" s="109"/>
      <c r="AR615" s="109"/>
      <c r="AS615" s="109"/>
      <c r="AT615" s="109"/>
      <c r="AU615" s="109"/>
    </row>
    <row r="616" spans="1:47" ht="14.25" customHeight="1" x14ac:dyDescent="0.3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09"/>
      <c r="AP616" s="109"/>
      <c r="AQ616" s="109"/>
      <c r="AR616" s="109"/>
      <c r="AS616" s="109"/>
      <c r="AT616" s="109"/>
      <c r="AU616" s="109"/>
    </row>
    <row r="617" spans="1:47" ht="14.25" customHeight="1" x14ac:dyDescent="0.3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  <c r="AO617" s="109"/>
      <c r="AP617" s="109"/>
      <c r="AQ617" s="109"/>
      <c r="AR617" s="109"/>
      <c r="AS617" s="109"/>
      <c r="AT617" s="109"/>
      <c r="AU617" s="109"/>
    </row>
    <row r="618" spans="1:47" ht="14.25" customHeight="1" x14ac:dyDescent="0.3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  <c r="AO618" s="109"/>
      <c r="AP618" s="109"/>
      <c r="AQ618" s="109"/>
      <c r="AR618" s="109"/>
      <c r="AS618" s="109"/>
      <c r="AT618" s="109"/>
      <c r="AU618" s="109"/>
    </row>
    <row r="619" spans="1:47" ht="14.25" customHeight="1" x14ac:dyDescent="0.3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  <c r="AO619" s="109"/>
      <c r="AP619" s="109"/>
      <c r="AQ619" s="109"/>
      <c r="AR619" s="109"/>
      <c r="AS619" s="109"/>
      <c r="AT619" s="109"/>
      <c r="AU619" s="109"/>
    </row>
    <row r="620" spans="1:47" ht="14.25" customHeight="1" x14ac:dyDescent="0.3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  <c r="AO620" s="109"/>
      <c r="AP620" s="109"/>
      <c r="AQ620" s="109"/>
      <c r="AR620" s="109"/>
      <c r="AS620" s="109"/>
      <c r="AT620" s="109"/>
      <c r="AU620" s="109"/>
    </row>
    <row r="621" spans="1:47" ht="14.25" customHeight="1" x14ac:dyDescent="0.3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  <c r="AO621" s="109"/>
      <c r="AP621" s="109"/>
      <c r="AQ621" s="109"/>
      <c r="AR621" s="109"/>
      <c r="AS621" s="109"/>
      <c r="AT621" s="109"/>
      <c r="AU621" s="109"/>
    </row>
    <row r="622" spans="1:47" ht="14.25" customHeight="1" x14ac:dyDescent="0.3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</row>
    <row r="623" spans="1:47" ht="14.25" customHeight="1" x14ac:dyDescent="0.3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</row>
    <row r="624" spans="1:47" ht="14.25" customHeight="1" x14ac:dyDescent="0.3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</row>
    <row r="625" spans="1:47" ht="14.25" customHeight="1" x14ac:dyDescent="0.3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</row>
    <row r="626" spans="1:47" ht="14.25" customHeight="1" x14ac:dyDescent="0.3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09"/>
      <c r="AP626" s="109"/>
      <c r="AQ626" s="109"/>
      <c r="AR626" s="109"/>
      <c r="AS626" s="109"/>
      <c r="AT626" s="109"/>
      <c r="AU626" s="109"/>
    </row>
    <row r="627" spans="1:47" ht="14.25" customHeight="1" x14ac:dyDescent="0.3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</row>
    <row r="628" spans="1:47" ht="14.25" customHeight="1" x14ac:dyDescent="0.3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</row>
    <row r="629" spans="1:47" ht="14.25" customHeight="1" x14ac:dyDescent="0.3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09"/>
      <c r="AP629" s="109"/>
      <c r="AQ629" s="109"/>
      <c r="AR629" s="109"/>
      <c r="AS629" s="109"/>
      <c r="AT629" s="109"/>
      <c r="AU629" s="109"/>
    </row>
    <row r="630" spans="1:47" ht="14.25" customHeight="1" x14ac:dyDescent="0.3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  <c r="AO630" s="109"/>
      <c r="AP630" s="109"/>
      <c r="AQ630" s="109"/>
      <c r="AR630" s="109"/>
      <c r="AS630" s="109"/>
      <c r="AT630" s="109"/>
      <c r="AU630" s="109"/>
    </row>
    <row r="631" spans="1:47" ht="14.25" customHeight="1" x14ac:dyDescent="0.3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  <c r="AO631" s="109"/>
      <c r="AP631" s="109"/>
      <c r="AQ631" s="109"/>
      <c r="AR631" s="109"/>
      <c r="AS631" s="109"/>
      <c r="AT631" s="109"/>
      <c r="AU631" s="109"/>
    </row>
    <row r="632" spans="1:47" ht="14.25" customHeight="1" x14ac:dyDescent="0.3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  <c r="AO632" s="109"/>
      <c r="AP632" s="109"/>
      <c r="AQ632" s="109"/>
      <c r="AR632" s="109"/>
      <c r="AS632" s="109"/>
      <c r="AT632" s="109"/>
      <c r="AU632" s="109"/>
    </row>
    <row r="633" spans="1:47" ht="14.25" customHeight="1" x14ac:dyDescent="0.3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  <c r="AO633" s="109"/>
      <c r="AP633" s="109"/>
      <c r="AQ633" s="109"/>
      <c r="AR633" s="109"/>
      <c r="AS633" s="109"/>
      <c r="AT633" s="109"/>
      <c r="AU633" s="109"/>
    </row>
    <row r="634" spans="1:47" ht="14.25" customHeight="1" x14ac:dyDescent="0.3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09"/>
      <c r="AP634" s="109"/>
      <c r="AQ634" s="109"/>
      <c r="AR634" s="109"/>
      <c r="AS634" s="109"/>
      <c r="AT634" s="109"/>
      <c r="AU634" s="109"/>
    </row>
    <row r="635" spans="1:47" ht="14.25" customHeight="1" x14ac:dyDescent="0.3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09"/>
      <c r="AP635" s="109"/>
      <c r="AQ635" s="109"/>
      <c r="AR635" s="109"/>
      <c r="AS635" s="109"/>
      <c r="AT635" s="109"/>
      <c r="AU635" s="109"/>
    </row>
    <row r="636" spans="1:47" ht="14.25" customHeight="1" x14ac:dyDescent="0.3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  <c r="AO636" s="109"/>
      <c r="AP636" s="109"/>
      <c r="AQ636" s="109"/>
      <c r="AR636" s="109"/>
      <c r="AS636" s="109"/>
      <c r="AT636" s="109"/>
      <c r="AU636" s="109"/>
    </row>
    <row r="637" spans="1:47" ht="14.25" customHeight="1" x14ac:dyDescent="0.3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  <c r="AO637" s="109"/>
      <c r="AP637" s="109"/>
      <c r="AQ637" s="109"/>
      <c r="AR637" s="109"/>
      <c r="AS637" s="109"/>
      <c r="AT637" s="109"/>
      <c r="AU637" s="109"/>
    </row>
    <row r="638" spans="1:47" ht="14.25" customHeight="1" x14ac:dyDescent="0.3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  <c r="AO638" s="109"/>
      <c r="AP638" s="109"/>
      <c r="AQ638" s="109"/>
      <c r="AR638" s="109"/>
      <c r="AS638" s="109"/>
      <c r="AT638" s="109"/>
      <c r="AU638" s="109"/>
    </row>
    <row r="639" spans="1:47" ht="14.25" customHeight="1" x14ac:dyDescent="0.3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  <c r="AO639" s="109"/>
      <c r="AP639" s="109"/>
      <c r="AQ639" s="109"/>
      <c r="AR639" s="109"/>
      <c r="AS639" s="109"/>
      <c r="AT639" s="109"/>
      <c r="AU639" s="109"/>
    </row>
    <row r="640" spans="1:47" ht="14.25" customHeight="1" x14ac:dyDescent="0.3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  <c r="AO640" s="109"/>
      <c r="AP640" s="109"/>
      <c r="AQ640" s="109"/>
      <c r="AR640" s="109"/>
      <c r="AS640" s="109"/>
      <c r="AT640" s="109"/>
      <c r="AU640" s="109"/>
    </row>
    <row r="641" spans="1:47" ht="14.25" customHeight="1" x14ac:dyDescent="0.3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/>
      <c r="AM641" s="109"/>
      <c r="AN641" s="109"/>
      <c r="AO641" s="109"/>
      <c r="AP641" s="109"/>
      <c r="AQ641" s="109"/>
      <c r="AR641" s="109"/>
      <c r="AS641" s="109"/>
      <c r="AT641" s="109"/>
      <c r="AU641" s="109"/>
    </row>
    <row r="642" spans="1:47" ht="14.25" customHeight="1" x14ac:dyDescent="0.3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  <c r="AO642" s="109"/>
      <c r="AP642" s="109"/>
      <c r="AQ642" s="109"/>
      <c r="AR642" s="109"/>
      <c r="AS642" s="109"/>
      <c r="AT642" s="109"/>
      <c r="AU642" s="109"/>
    </row>
    <row r="643" spans="1:47" ht="14.25" customHeight="1" x14ac:dyDescent="0.3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  <c r="AO643" s="109"/>
      <c r="AP643" s="109"/>
      <c r="AQ643" s="109"/>
      <c r="AR643" s="109"/>
      <c r="AS643" s="109"/>
      <c r="AT643" s="109"/>
      <c r="AU643" s="109"/>
    </row>
    <row r="644" spans="1:47" ht="14.25" customHeight="1" x14ac:dyDescent="0.3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  <c r="AL644" s="109"/>
      <c r="AM644" s="109"/>
      <c r="AN644" s="109"/>
      <c r="AO644" s="109"/>
      <c r="AP644" s="109"/>
      <c r="AQ644" s="109"/>
      <c r="AR644" s="109"/>
      <c r="AS644" s="109"/>
      <c r="AT644" s="109"/>
      <c r="AU644" s="109"/>
    </row>
    <row r="645" spans="1:47" ht="14.25" customHeight="1" x14ac:dyDescent="0.3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  <c r="AL645" s="109"/>
      <c r="AM645" s="109"/>
      <c r="AN645" s="109"/>
      <c r="AO645" s="109"/>
      <c r="AP645" s="109"/>
      <c r="AQ645" s="109"/>
      <c r="AR645" s="109"/>
      <c r="AS645" s="109"/>
      <c r="AT645" s="109"/>
      <c r="AU645" s="109"/>
    </row>
    <row r="646" spans="1:47" ht="14.25" customHeight="1" x14ac:dyDescent="0.3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  <c r="AO646" s="109"/>
      <c r="AP646" s="109"/>
      <c r="AQ646" s="109"/>
      <c r="AR646" s="109"/>
      <c r="AS646" s="109"/>
      <c r="AT646" s="109"/>
      <c r="AU646" s="109"/>
    </row>
    <row r="647" spans="1:47" ht="14.25" customHeight="1" x14ac:dyDescent="0.3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  <c r="AO647" s="109"/>
      <c r="AP647" s="109"/>
      <c r="AQ647" s="109"/>
      <c r="AR647" s="109"/>
      <c r="AS647" s="109"/>
      <c r="AT647" s="109"/>
      <c r="AU647" s="109"/>
    </row>
    <row r="648" spans="1:47" ht="14.25" customHeight="1" x14ac:dyDescent="0.3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  <c r="AL648" s="109"/>
      <c r="AM648" s="109"/>
      <c r="AN648" s="109"/>
      <c r="AO648" s="109"/>
      <c r="AP648" s="109"/>
      <c r="AQ648" s="109"/>
      <c r="AR648" s="109"/>
      <c r="AS648" s="109"/>
      <c r="AT648" s="109"/>
      <c r="AU648" s="109"/>
    </row>
    <row r="649" spans="1:47" ht="14.25" customHeight="1" x14ac:dyDescent="0.3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/>
      <c r="AM649" s="109"/>
      <c r="AN649" s="109"/>
      <c r="AO649" s="109"/>
      <c r="AP649" s="109"/>
      <c r="AQ649" s="109"/>
      <c r="AR649" s="109"/>
      <c r="AS649" s="109"/>
      <c r="AT649" s="109"/>
      <c r="AU649" s="109"/>
    </row>
    <row r="650" spans="1:47" ht="14.25" customHeight="1" x14ac:dyDescent="0.3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  <c r="AO650" s="109"/>
      <c r="AP650" s="109"/>
      <c r="AQ650" s="109"/>
      <c r="AR650" s="109"/>
      <c r="AS650" s="109"/>
      <c r="AT650" s="109"/>
      <c r="AU650" s="109"/>
    </row>
    <row r="651" spans="1:47" ht="14.25" customHeight="1" x14ac:dyDescent="0.3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  <c r="AO651" s="109"/>
      <c r="AP651" s="109"/>
      <c r="AQ651" s="109"/>
      <c r="AR651" s="109"/>
      <c r="AS651" s="109"/>
      <c r="AT651" s="109"/>
      <c r="AU651" s="109"/>
    </row>
    <row r="652" spans="1:47" ht="14.25" customHeight="1" x14ac:dyDescent="0.3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  <c r="AO652" s="109"/>
      <c r="AP652" s="109"/>
      <c r="AQ652" s="109"/>
      <c r="AR652" s="109"/>
      <c r="AS652" s="109"/>
      <c r="AT652" s="109"/>
      <c r="AU652" s="109"/>
    </row>
    <row r="653" spans="1:47" ht="14.25" customHeight="1" x14ac:dyDescent="0.3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/>
      <c r="AM653" s="109"/>
      <c r="AN653" s="109"/>
      <c r="AO653" s="109"/>
      <c r="AP653" s="109"/>
      <c r="AQ653" s="109"/>
      <c r="AR653" s="109"/>
      <c r="AS653" s="109"/>
      <c r="AT653" s="109"/>
      <c r="AU653" s="109"/>
    </row>
    <row r="654" spans="1:47" ht="14.25" customHeight="1" x14ac:dyDescent="0.3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09"/>
      <c r="AM654" s="109"/>
      <c r="AN654" s="109"/>
      <c r="AO654" s="109"/>
      <c r="AP654" s="109"/>
      <c r="AQ654" s="109"/>
      <c r="AR654" s="109"/>
      <c r="AS654" s="109"/>
      <c r="AT654" s="109"/>
      <c r="AU654" s="109"/>
    </row>
    <row r="655" spans="1:47" ht="14.25" customHeight="1" x14ac:dyDescent="0.3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  <c r="AL655" s="109"/>
      <c r="AM655" s="109"/>
      <c r="AN655" s="109"/>
      <c r="AO655" s="109"/>
      <c r="AP655" s="109"/>
      <c r="AQ655" s="109"/>
      <c r="AR655" s="109"/>
      <c r="AS655" s="109"/>
      <c r="AT655" s="109"/>
      <c r="AU655" s="109"/>
    </row>
    <row r="656" spans="1:47" ht="14.25" customHeight="1" x14ac:dyDescent="0.3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/>
      <c r="AM656" s="109"/>
      <c r="AN656" s="109"/>
      <c r="AO656" s="109"/>
      <c r="AP656" s="109"/>
      <c r="AQ656" s="109"/>
      <c r="AR656" s="109"/>
      <c r="AS656" s="109"/>
      <c r="AT656" s="109"/>
      <c r="AU656" s="109"/>
    </row>
    <row r="657" spans="1:47" ht="14.25" customHeight="1" x14ac:dyDescent="0.3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  <c r="AO657" s="109"/>
      <c r="AP657" s="109"/>
      <c r="AQ657" s="109"/>
      <c r="AR657" s="109"/>
      <c r="AS657" s="109"/>
      <c r="AT657" s="109"/>
      <c r="AU657" s="109"/>
    </row>
    <row r="658" spans="1:47" ht="14.25" customHeight="1" x14ac:dyDescent="0.3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  <c r="AL658" s="109"/>
      <c r="AM658" s="109"/>
      <c r="AN658" s="109"/>
      <c r="AO658" s="109"/>
      <c r="AP658" s="109"/>
      <c r="AQ658" s="109"/>
      <c r="AR658" s="109"/>
      <c r="AS658" s="109"/>
      <c r="AT658" s="109"/>
      <c r="AU658" s="109"/>
    </row>
    <row r="659" spans="1:47" ht="14.25" customHeight="1" x14ac:dyDescent="0.3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  <c r="AO659" s="109"/>
      <c r="AP659" s="109"/>
      <c r="AQ659" s="109"/>
      <c r="AR659" s="109"/>
      <c r="AS659" s="109"/>
      <c r="AT659" s="109"/>
      <c r="AU659" s="109"/>
    </row>
    <row r="660" spans="1:47" ht="14.25" customHeight="1" x14ac:dyDescent="0.3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  <c r="AL660" s="109"/>
      <c r="AM660" s="109"/>
      <c r="AN660" s="109"/>
      <c r="AO660" s="109"/>
      <c r="AP660" s="109"/>
      <c r="AQ660" s="109"/>
      <c r="AR660" s="109"/>
      <c r="AS660" s="109"/>
      <c r="AT660" s="109"/>
      <c r="AU660" s="109"/>
    </row>
    <row r="661" spans="1:47" ht="14.25" customHeight="1" x14ac:dyDescent="0.3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  <c r="AL661" s="109"/>
      <c r="AM661" s="109"/>
      <c r="AN661" s="109"/>
      <c r="AO661" s="109"/>
      <c r="AP661" s="109"/>
      <c r="AQ661" s="109"/>
      <c r="AR661" s="109"/>
      <c r="AS661" s="109"/>
      <c r="AT661" s="109"/>
      <c r="AU661" s="109"/>
    </row>
    <row r="662" spans="1:47" ht="14.25" customHeight="1" x14ac:dyDescent="0.3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  <c r="AO662" s="109"/>
      <c r="AP662" s="109"/>
      <c r="AQ662" s="109"/>
      <c r="AR662" s="109"/>
      <c r="AS662" s="109"/>
      <c r="AT662" s="109"/>
      <c r="AU662" s="109"/>
    </row>
    <row r="663" spans="1:47" ht="14.25" customHeight="1" x14ac:dyDescent="0.3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  <c r="AO663" s="109"/>
      <c r="AP663" s="109"/>
      <c r="AQ663" s="109"/>
      <c r="AR663" s="109"/>
      <c r="AS663" s="109"/>
      <c r="AT663" s="109"/>
      <c r="AU663" s="109"/>
    </row>
    <row r="664" spans="1:47" ht="14.25" customHeight="1" x14ac:dyDescent="0.3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  <c r="AO664" s="109"/>
      <c r="AP664" s="109"/>
      <c r="AQ664" s="109"/>
      <c r="AR664" s="109"/>
      <c r="AS664" s="109"/>
      <c r="AT664" s="109"/>
      <c r="AU664" s="109"/>
    </row>
    <row r="665" spans="1:47" ht="14.25" customHeight="1" x14ac:dyDescent="0.3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/>
      <c r="AM665" s="109"/>
      <c r="AN665" s="109"/>
      <c r="AO665" s="109"/>
      <c r="AP665" s="109"/>
      <c r="AQ665" s="109"/>
      <c r="AR665" s="109"/>
      <c r="AS665" s="109"/>
      <c r="AT665" s="109"/>
      <c r="AU665" s="109"/>
    </row>
    <row r="666" spans="1:47" ht="14.25" customHeight="1" x14ac:dyDescent="0.3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  <c r="AO666" s="109"/>
      <c r="AP666" s="109"/>
      <c r="AQ666" s="109"/>
      <c r="AR666" s="109"/>
      <c r="AS666" s="109"/>
      <c r="AT666" s="109"/>
      <c r="AU666" s="109"/>
    </row>
    <row r="667" spans="1:47" ht="14.25" customHeight="1" x14ac:dyDescent="0.3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  <c r="AO667" s="109"/>
      <c r="AP667" s="109"/>
      <c r="AQ667" s="109"/>
      <c r="AR667" s="109"/>
      <c r="AS667" s="109"/>
      <c r="AT667" s="109"/>
      <c r="AU667" s="109"/>
    </row>
    <row r="668" spans="1:47" ht="14.25" customHeight="1" x14ac:dyDescent="0.3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  <c r="AO668" s="109"/>
      <c r="AP668" s="109"/>
      <c r="AQ668" s="109"/>
      <c r="AR668" s="109"/>
      <c r="AS668" s="109"/>
      <c r="AT668" s="109"/>
      <c r="AU668" s="109"/>
    </row>
    <row r="669" spans="1:47" ht="14.25" customHeight="1" x14ac:dyDescent="0.3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  <c r="AO669" s="109"/>
      <c r="AP669" s="109"/>
      <c r="AQ669" s="109"/>
      <c r="AR669" s="109"/>
      <c r="AS669" s="109"/>
      <c r="AT669" s="109"/>
      <c r="AU669" s="109"/>
    </row>
    <row r="670" spans="1:47" ht="14.25" customHeight="1" x14ac:dyDescent="0.3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/>
      <c r="AM670" s="109"/>
      <c r="AN670" s="109"/>
      <c r="AO670" s="109"/>
      <c r="AP670" s="109"/>
      <c r="AQ670" s="109"/>
      <c r="AR670" s="109"/>
      <c r="AS670" s="109"/>
      <c r="AT670" s="109"/>
      <c r="AU670" s="109"/>
    </row>
    <row r="671" spans="1:47" ht="14.25" customHeight="1" x14ac:dyDescent="0.3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  <c r="AL671" s="109"/>
      <c r="AM671" s="109"/>
      <c r="AN671" s="109"/>
      <c r="AO671" s="109"/>
      <c r="AP671" s="109"/>
      <c r="AQ671" s="109"/>
      <c r="AR671" s="109"/>
      <c r="AS671" s="109"/>
      <c r="AT671" s="109"/>
      <c r="AU671" s="109"/>
    </row>
    <row r="672" spans="1:47" ht="14.25" customHeight="1" x14ac:dyDescent="0.3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/>
      <c r="AM672" s="109"/>
      <c r="AN672" s="109"/>
      <c r="AO672" s="109"/>
      <c r="AP672" s="109"/>
      <c r="AQ672" s="109"/>
      <c r="AR672" s="109"/>
      <c r="AS672" s="109"/>
      <c r="AT672" s="109"/>
      <c r="AU672" s="109"/>
    </row>
    <row r="673" spans="1:47" ht="14.25" customHeight="1" x14ac:dyDescent="0.3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/>
      <c r="AM673" s="109"/>
      <c r="AN673" s="109"/>
      <c r="AO673" s="109"/>
      <c r="AP673" s="109"/>
      <c r="AQ673" s="109"/>
      <c r="AR673" s="109"/>
      <c r="AS673" s="109"/>
      <c r="AT673" s="109"/>
      <c r="AU673" s="109"/>
    </row>
    <row r="674" spans="1:47" ht="14.25" customHeight="1" x14ac:dyDescent="0.3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  <c r="AO674" s="109"/>
      <c r="AP674" s="109"/>
      <c r="AQ674" s="109"/>
      <c r="AR674" s="109"/>
      <c r="AS674" s="109"/>
      <c r="AT674" s="109"/>
      <c r="AU674" s="109"/>
    </row>
    <row r="675" spans="1:47" ht="14.25" customHeight="1" x14ac:dyDescent="0.3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/>
      <c r="AM675" s="109"/>
      <c r="AN675" s="109"/>
      <c r="AO675" s="109"/>
      <c r="AP675" s="109"/>
      <c r="AQ675" s="109"/>
      <c r="AR675" s="109"/>
      <c r="AS675" s="109"/>
      <c r="AT675" s="109"/>
      <c r="AU675" s="109"/>
    </row>
    <row r="676" spans="1:47" ht="14.25" customHeight="1" x14ac:dyDescent="0.3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/>
      <c r="AM676" s="109"/>
      <c r="AN676" s="109"/>
      <c r="AO676" s="109"/>
      <c r="AP676" s="109"/>
      <c r="AQ676" s="109"/>
      <c r="AR676" s="109"/>
      <c r="AS676" s="109"/>
      <c r="AT676" s="109"/>
      <c r="AU676" s="109"/>
    </row>
    <row r="677" spans="1:47" ht="14.25" customHeight="1" x14ac:dyDescent="0.3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/>
      <c r="AM677" s="109"/>
      <c r="AN677" s="109"/>
      <c r="AO677" s="109"/>
      <c r="AP677" s="109"/>
      <c r="AQ677" s="109"/>
      <c r="AR677" s="109"/>
      <c r="AS677" s="109"/>
      <c r="AT677" s="109"/>
      <c r="AU677" s="109"/>
    </row>
    <row r="678" spans="1:47" ht="14.25" customHeight="1" x14ac:dyDescent="0.3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  <c r="AO678" s="109"/>
      <c r="AP678" s="109"/>
      <c r="AQ678" s="109"/>
      <c r="AR678" s="109"/>
      <c r="AS678" s="109"/>
      <c r="AT678" s="109"/>
      <c r="AU678" s="109"/>
    </row>
    <row r="679" spans="1:47" ht="14.25" customHeight="1" x14ac:dyDescent="0.3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  <c r="AO679" s="109"/>
      <c r="AP679" s="109"/>
      <c r="AQ679" s="109"/>
      <c r="AR679" s="109"/>
      <c r="AS679" s="109"/>
      <c r="AT679" s="109"/>
      <c r="AU679" s="109"/>
    </row>
    <row r="680" spans="1:47" ht="14.25" customHeight="1" x14ac:dyDescent="0.3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  <c r="AO680" s="109"/>
      <c r="AP680" s="109"/>
      <c r="AQ680" s="109"/>
      <c r="AR680" s="109"/>
      <c r="AS680" s="109"/>
      <c r="AT680" s="109"/>
      <c r="AU680" s="109"/>
    </row>
    <row r="681" spans="1:47" ht="14.25" customHeight="1" x14ac:dyDescent="0.3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  <c r="AO681" s="109"/>
      <c r="AP681" s="109"/>
      <c r="AQ681" s="109"/>
      <c r="AR681" s="109"/>
      <c r="AS681" s="109"/>
      <c r="AT681" s="109"/>
      <c r="AU681" s="109"/>
    </row>
    <row r="682" spans="1:47" ht="14.25" customHeight="1" x14ac:dyDescent="0.3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  <c r="AL682" s="109"/>
      <c r="AM682" s="109"/>
      <c r="AN682" s="109"/>
      <c r="AO682" s="109"/>
      <c r="AP682" s="109"/>
      <c r="AQ682" s="109"/>
      <c r="AR682" s="109"/>
      <c r="AS682" s="109"/>
      <c r="AT682" s="109"/>
      <c r="AU682" s="109"/>
    </row>
    <row r="683" spans="1:47" ht="14.25" customHeight="1" x14ac:dyDescent="0.3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  <c r="AL683" s="109"/>
      <c r="AM683" s="109"/>
      <c r="AN683" s="109"/>
      <c r="AO683" s="109"/>
      <c r="AP683" s="109"/>
      <c r="AQ683" s="109"/>
      <c r="AR683" s="109"/>
      <c r="AS683" s="109"/>
      <c r="AT683" s="109"/>
      <c r="AU683" s="109"/>
    </row>
    <row r="684" spans="1:47" ht="14.25" customHeight="1" x14ac:dyDescent="0.3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  <c r="AL684" s="109"/>
      <c r="AM684" s="109"/>
      <c r="AN684" s="109"/>
      <c r="AO684" s="109"/>
      <c r="AP684" s="109"/>
      <c r="AQ684" s="109"/>
      <c r="AR684" s="109"/>
      <c r="AS684" s="109"/>
      <c r="AT684" s="109"/>
      <c r="AU684" s="109"/>
    </row>
    <row r="685" spans="1:47" ht="14.25" customHeight="1" x14ac:dyDescent="0.3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  <c r="AL685" s="109"/>
      <c r="AM685" s="109"/>
      <c r="AN685" s="109"/>
      <c r="AO685" s="109"/>
      <c r="AP685" s="109"/>
      <c r="AQ685" s="109"/>
      <c r="AR685" s="109"/>
      <c r="AS685" s="109"/>
      <c r="AT685" s="109"/>
      <c r="AU685" s="109"/>
    </row>
    <row r="686" spans="1:47" ht="14.25" customHeight="1" x14ac:dyDescent="0.3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  <c r="AL686" s="109"/>
      <c r="AM686" s="109"/>
      <c r="AN686" s="109"/>
      <c r="AO686" s="109"/>
      <c r="AP686" s="109"/>
      <c r="AQ686" s="109"/>
      <c r="AR686" s="109"/>
      <c r="AS686" s="109"/>
      <c r="AT686" s="109"/>
      <c r="AU686" s="109"/>
    </row>
    <row r="687" spans="1:47" ht="14.25" customHeight="1" x14ac:dyDescent="0.3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  <c r="AL687" s="109"/>
      <c r="AM687" s="109"/>
      <c r="AN687" s="109"/>
      <c r="AO687" s="109"/>
      <c r="AP687" s="109"/>
      <c r="AQ687" s="109"/>
      <c r="AR687" s="109"/>
      <c r="AS687" s="109"/>
      <c r="AT687" s="109"/>
      <c r="AU687" s="109"/>
    </row>
    <row r="688" spans="1:47" ht="14.25" customHeight="1" x14ac:dyDescent="0.3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  <c r="AL688" s="109"/>
      <c r="AM688" s="109"/>
      <c r="AN688" s="109"/>
      <c r="AO688" s="109"/>
      <c r="AP688" s="109"/>
      <c r="AQ688" s="109"/>
      <c r="AR688" s="109"/>
      <c r="AS688" s="109"/>
      <c r="AT688" s="109"/>
      <c r="AU688" s="109"/>
    </row>
    <row r="689" spans="1:47" ht="14.25" customHeight="1" x14ac:dyDescent="0.3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  <c r="AD689" s="109"/>
      <c r="AE689" s="109"/>
      <c r="AF689" s="109"/>
      <c r="AG689" s="109"/>
      <c r="AH689" s="109"/>
      <c r="AI689" s="109"/>
      <c r="AJ689" s="109"/>
      <c r="AK689" s="109"/>
      <c r="AL689" s="109"/>
      <c r="AM689" s="109"/>
      <c r="AN689" s="109"/>
      <c r="AO689" s="109"/>
      <c r="AP689" s="109"/>
      <c r="AQ689" s="109"/>
      <c r="AR689" s="109"/>
      <c r="AS689" s="109"/>
      <c r="AT689" s="109"/>
      <c r="AU689" s="109"/>
    </row>
    <row r="690" spans="1:47" ht="14.25" customHeight="1" x14ac:dyDescent="0.3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  <c r="AL690" s="109"/>
      <c r="AM690" s="109"/>
      <c r="AN690" s="109"/>
      <c r="AO690" s="109"/>
      <c r="AP690" s="109"/>
      <c r="AQ690" s="109"/>
      <c r="AR690" s="109"/>
      <c r="AS690" s="109"/>
      <c r="AT690" s="109"/>
      <c r="AU690" s="109"/>
    </row>
    <row r="691" spans="1:47" ht="14.25" customHeight="1" x14ac:dyDescent="0.3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  <c r="AL691" s="109"/>
      <c r="AM691" s="109"/>
      <c r="AN691" s="109"/>
      <c r="AO691" s="109"/>
      <c r="AP691" s="109"/>
      <c r="AQ691" s="109"/>
      <c r="AR691" s="109"/>
      <c r="AS691" s="109"/>
      <c r="AT691" s="109"/>
      <c r="AU691" s="109"/>
    </row>
    <row r="692" spans="1:47" ht="14.25" customHeight="1" x14ac:dyDescent="0.3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/>
      <c r="AM692" s="109"/>
      <c r="AN692" s="109"/>
      <c r="AO692" s="109"/>
      <c r="AP692" s="109"/>
      <c r="AQ692" s="109"/>
      <c r="AR692" s="109"/>
      <c r="AS692" s="109"/>
      <c r="AT692" s="109"/>
      <c r="AU692" s="109"/>
    </row>
    <row r="693" spans="1:47" ht="14.25" customHeight="1" x14ac:dyDescent="0.3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  <c r="AO693" s="109"/>
      <c r="AP693" s="109"/>
      <c r="AQ693" s="109"/>
      <c r="AR693" s="109"/>
      <c r="AS693" s="109"/>
      <c r="AT693" s="109"/>
      <c r="AU693" s="109"/>
    </row>
    <row r="694" spans="1:47" ht="14.25" customHeight="1" x14ac:dyDescent="0.3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  <c r="AL694" s="109"/>
      <c r="AM694" s="109"/>
      <c r="AN694" s="109"/>
      <c r="AO694" s="109"/>
      <c r="AP694" s="109"/>
      <c r="AQ694" s="109"/>
      <c r="AR694" s="109"/>
      <c r="AS694" s="109"/>
      <c r="AT694" s="109"/>
      <c r="AU694" s="109"/>
    </row>
    <row r="695" spans="1:47" ht="14.25" customHeight="1" x14ac:dyDescent="0.3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  <c r="AL695" s="109"/>
      <c r="AM695" s="109"/>
      <c r="AN695" s="109"/>
      <c r="AO695" s="109"/>
      <c r="AP695" s="109"/>
      <c r="AQ695" s="109"/>
      <c r="AR695" s="109"/>
      <c r="AS695" s="109"/>
      <c r="AT695" s="109"/>
      <c r="AU695" s="109"/>
    </row>
    <row r="696" spans="1:47" ht="14.25" customHeight="1" x14ac:dyDescent="0.3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  <c r="AL696" s="109"/>
      <c r="AM696" s="109"/>
      <c r="AN696" s="109"/>
      <c r="AO696" s="109"/>
      <c r="AP696" s="109"/>
      <c r="AQ696" s="109"/>
      <c r="AR696" s="109"/>
      <c r="AS696" s="109"/>
      <c r="AT696" s="109"/>
      <c r="AU696" s="109"/>
    </row>
    <row r="697" spans="1:47" ht="14.25" customHeight="1" x14ac:dyDescent="0.3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  <c r="AL697" s="109"/>
      <c r="AM697" s="109"/>
      <c r="AN697" s="109"/>
      <c r="AO697" s="109"/>
      <c r="AP697" s="109"/>
      <c r="AQ697" s="109"/>
      <c r="AR697" s="109"/>
      <c r="AS697" s="109"/>
      <c r="AT697" s="109"/>
      <c r="AU697" s="109"/>
    </row>
    <row r="698" spans="1:47" ht="14.25" customHeight="1" x14ac:dyDescent="0.3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  <c r="AD698" s="109"/>
      <c r="AE698" s="109"/>
      <c r="AF698" s="109"/>
      <c r="AG698" s="109"/>
      <c r="AH698" s="109"/>
      <c r="AI698" s="109"/>
      <c r="AJ698" s="109"/>
      <c r="AK698" s="109"/>
      <c r="AL698" s="109"/>
      <c r="AM698" s="109"/>
      <c r="AN698" s="109"/>
      <c r="AO698" s="109"/>
      <c r="AP698" s="109"/>
      <c r="AQ698" s="109"/>
      <c r="AR698" s="109"/>
      <c r="AS698" s="109"/>
      <c r="AT698" s="109"/>
      <c r="AU698" s="109"/>
    </row>
    <row r="699" spans="1:47" ht="14.25" customHeight="1" x14ac:dyDescent="0.3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  <c r="AL699" s="109"/>
      <c r="AM699" s="109"/>
      <c r="AN699" s="109"/>
      <c r="AO699" s="109"/>
      <c r="AP699" s="109"/>
      <c r="AQ699" s="109"/>
      <c r="AR699" s="109"/>
      <c r="AS699" s="109"/>
      <c r="AT699" s="109"/>
      <c r="AU699" s="109"/>
    </row>
    <row r="700" spans="1:47" ht="14.25" customHeight="1" x14ac:dyDescent="0.3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  <c r="AD700" s="109"/>
      <c r="AE700" s="109"/>
      <c r="AF700" s="109"/>
      <c r="AG700" s="109"/>
      <c r="AH700" s="109"/>
      <c r="AI700" s="109"/>
      <c r="AJ700" s="109"/>
      <c r="AK700" s="109"/>
      <c r="AL700" s="109"/>
      <c r="AM700" s="109"/>
      <c r="AN700" s="109"/>
      <c r="AO700" s="109"/>
      <c r="AP700" s="109"/>
      <c r="AQ700" s="109"/>
      <c r="AR700" s="109"/>
      <c r="AS700" s="109"/>
      <c r="AT700" s="109"/>
      <c r="AU700" s="109"/>
    </row>
    <row r="701" spans="1:47" ht="14.25" customHeight="1" x14ac:dyDescent="0.3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109"/>
      <c r="AK701" s="109"/>
      <c r="AL701" s="109"/>
      <c r="AM701" s="109"/>
      <c r="AN701" s="109"/>
      <c r="AO701" s="109"/>
      <c r="AP701" s="109"/>
      <c r="AQ701" s="109"/>
      <c r="AR701" s="109"/>
      <c r="AS701" s="109"/>
      <c r="AT701" s="109"/>
      <c r="AU701" s="109"/>
    </row>
    <row r="702" spans="1:47" ht="14.25" customHeight="1" x14ac:dyDescent="0.3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  <c r="AD702" s="109"/>
      <c r="AE702" s="109"/>
      <c r="AF702" s="109"/>
      <c r="AG702" s="109"/>
      <c r="AH702" s="109"/>
      <c r="AI702" s="109"/>
      <c r="AJ702" s="109"/>
      <c r="AK702" s="109"/>
      <c r="AL702" s="109"/>
      <c r="AM702" s="109"/>
      <c r="AN702" s="109"/>
      <c r="AO702" s="109"/>
      <c r="AP702" s="109"/>
      <c r="AQ702" s="109"/>
      <c r="AR702" s="109"/>
      <c r="AS702" s="109"/>
      <c r="AT702" s="109"/>
      <c r="AU702" s="109"/>
    </row>
    <row r="703" spans="1:47" ht="14.25" customHeight="1" x14ac:dyDescent="0.3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  <c r="AD703" s="109"/>
      <c r="AE703" s="109"/>
      <c r="AF703" s="109"/>
      <c r="AG703" s="109"/>
      <c r="AH703" s="109"/>
      <c r="AI703" s="109"/>
      <c r="AJ703" s="109"/>
      <c r="AK703" s="109"/>
      <c r="AL703" s="109"/>
      <c r="AM703" s="109"/>
      <c r="AN703" s="109"/>
      <c r="AO703" s="109"/>
      <c r="AP703" s="109"/>
      <c r="AQ703" s="109"/>
      <c r="AR703" s="109"/>
      <c r="AS703" s="109"/>
      <c r="AT703" s="109"/>
      <c r="AU703" s="109"/>
    </row>
    <row r="704" spans="1:47" ht="14.25" customHeight="1" x14ac:dyDescent="0.3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  <c r="AL704" s="109"/>
      <c r="AM704" s="109"/>
      <c r="AN704" s="109"/>
      <c r="AO704" s="109"/>
      <c r="AP704" s="109"/>
      <c r="AQ704" s="109"/>
      <c r="AR704" s="109"/>
      <c r="AS704" s="109"/>
      <c r="AT704" s="109"/>
      <c r="AU704" s="109"/>
    </row>
    <row r="705" spans="1:47" ht="14.25" customHeight="1" x14ac:dyDescent="0.3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  <c r="AL705" s="109"/>
      <c r="AM705" s="109"/>
      <c r="AN705" s="109"/>
      <c r="AO705" s="109"/>
      <c r="AP705" s="109"/>
      <c r="AQ705" s="109"/>
      <c r="AR705" s="109"/>
      <c r="AS705" s="109"/>
      <c r="AT705" s="109"/>
      <c r="AU705" s="109"/>
    </row>
    <row r="706" spans="1:47" ht="14.25" customHeight="1" x14ac:dyDescent="0.3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09"/>
      <c r="AJ706" s="109"/>
      <c r="AK706" s="109"/>
      <c r="AL706" s="109"/>
      <c r="AM706" s="109"/>
      <c r="AN706" s="109"/>
      <c r="AO706" s="109"/>
      <c r="AP706" s="109"/>
      <c r="AQ706" s="109"/>
      <c r="AR706" s="109"/>
      <c r="AS706" s="109"/>
      <c r="AT706" s="109"/>
      <c r="AU706" s="109"/>
    </row>
    <row r="707" spans="1:47" ht="14.25" customHeight="1" x14ac:dyDescent="0.3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  <c r="AD707" s="109"/>
      <c r="AE707" s="109"/>
      <c r="AF707" s="109"/>
      <c r="AG707" s="109"/>
      <c r="AH707" s="109"/>
      <c r="AI707" s="109"/>
      <c r="AJ707" s="109"/>
      <c r="AK707" s="109"/>
      <c r="AL707" s="109"/>
      <c r="AM707" s="109"/>
      <c r="AN707" s="109"/>
      <c r="AO707" s="109"/>
      <c r="AP707" s="109"/>
      <c r="AQ707" s="109"/>
      <c r="AR707" s="109"/>
      <c r="AS707" s="109"/>
      <c r="AT707" s="109"/>
      <c r="AU707" s="109"/>
    </row>
    <row r="708" spans="1:47" ht="14.25" customHeight="1" x14ac:dyDescent="0.3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  <c r="AD708" s="109"/>
      <c r="AE708" s="109"/>
      <c r="AF708" s="109"/>
      <c r="AG708" s="109"/>
      <c r="AH708" s="109"/>
      <c r="AI708" s="109"/>
      <c r="AJ708" s="109"/>
      <c r="AK708" s="109"/>
      <c r="AL708" s="109"/>
      <c r="AM708" s="109"/>
      <c r="AN708" s="109"/>
      <c r="AO708" s="109"/>
      <c r="AP708" s="109"/>
      <c r="AQ708" s="109"/>
      <c r="AR708" s="109"/>
      <c r="AS708" s="109"/>
      <c r="AT708" s="109"/>
      <c r="AU708" s="109"/>
    </row>
    <row r="709" spans="1:47" ht="14.25" customHeight="1" x14ac:dyDescent="0.3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  <c r="AD709" s="109"/>
      <c r="AE709" s="109"/>
      <c r="AF709" s="109"/>
      <c r="AG709" s="109"/>
      <c r="AH709" s="109"/>
      <c r="AI709" s="109"/>
      <c r="AJ709" s="109"/>
      <c r="AK709" s="109"/>
      <c r="AL709" s="109"/>
      <c r="AM709" s="109"/>
      <c r="AN709" s="109"/>
      <c r="AO709" s="109"/>
      <c r="AP709" s="109"/>
      <c r="AQ709" s="109"/>
      <c r="AR709" s="109"/>
      <c r="AS709" s="109"/>
      <c r="AT709" s="109"/>
      <c r="AU709" s="109"/>
    </row>
    <row r="710" spans="1:47" ht="14.25" customHeight="1" x14ac:dyDescent="0.3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  <c r="AD710" s="109"/>
      <c r="AE710" s="109"/>
      <c r="AF710" s="109"/>
      <c r="AG710" s="109"/>
      <c r="AH710" s="109"/>
      <c r="AI710" s="109"/>
      <c r="AJ710" s="109"/>
      <c r="AK710" s="109"/>
      <c r="AL710" s="109"/>
      <c r="AM710" s="109"/>
      <c r="AN710" s="109"/>
      <c r="AO710" s="109"/>
      <c r="AP710" s="109"/>
      <c r="AQ710" s="109"/>
      <c r="AR710" s="109"/>
      <c r="AS710" s="109"/>
      <c r="AT710" s="109"/>
      <c r="AU710" s="109"/>
    </row>
    <row r="711" spans="1:47" ht="14.25" customHeight="1" x14ac:dyDescent="0.3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  <c r="AD711" s="109"/>
      <c r="AE711" s="109"/>
      <c r="AF711" s="109"/>
      <c r="AG711" s="109"/>
      <c r="AH711" s="109"/>
      <c r="AI711" s="109"/>
      <c r="AJ711" s="109"/>
      <c r="AK711" s="109"/>
      <c r="AL711" s="109"/>
      <c r="AM711" s="109"/>
      <c r="AN711" s="109"/>
      <c r="AO711" s="109"/>
      <c r="AP711" s="109"/>
      <c r="AQ711" s="109"/>
      <c r="AR711" s="109"/>
      <c r="AS711" s="109"/>
      <c r="AT711" s="109"/>
      <c r="AU711" s="109"/>
    </row>
    <row r="712" spans="1:47" ht="14.25" customHeight="1" x14ac:dyDescent="0.3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  <c r="AL712" s="109"/>
      <c r="AM712" s="109"/>
      <c r="AN712" s="109"/>
      <c r="AO712" s="109"/>
      <c r="AP712" s="109"/>
      <c r="AQ712" s="109"/>
      <c r="AR712" s="109"/>
      <c r="AS712" s="109"/>
      <c r="AT712" s="109"/>
      <c r="AU712" s="109"/>
    </row>
    <row r="713" spans="1:47" ht="14.25" customHeight="1" x14ac:dyDescent="0.3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  <c r="AL713" s="109"/>
      <c r="AM713" s="109"/>
      <c r="AN713" s="109"/>
      <c r="AO713" s="109"/>
      <c r="AP713" s="109"/>
      <c r="AQ713" s="109"/>
      <c r="AR713" s="109"/>
      <c r="AS713" s="109"/>
      <c r="AT713" s="109"/>
      <c r="AU713" s="109"/>
    </row>
    <row r="714" spans="1:47" ht="14.25" customHeight="1" x14ac:dyDescent="0.3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  <c r="AL714" s="109"/>
      <c r="AM714" s="109"/>
      <c r="AN714" s="109"/>
      <c r="AO714" s="109"/>
      <c r="AP714" s="109"/>
      <c r="AQ714" s="109"/>
      <c r="AR714" s="109"/>
      <c r="AS714" s="109"/>
      <c r="AT714" s="109"/>
      <c r="AU714" s="109"/>
    </row>
    <row r="715" spans="1:47" ht="14.25" customHeight="1" x14ac:dyDescent="0.3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  <c r="AL715" s="109"/>
      <c r="AM715" s="109"/>
      <c r="AN715" s="109"/>
      <c r="AO715" s="109"/>
      <c r="AP715" s="109"/>
      <c r="AQ715" s="109"/>
      <c r="AR715" s="109"/>
      <c r="AS715" s="109"/>
      <c r="AT715" s="109"/>
      <c r="AU715" s="109"/>
    </row>
    <row r="716" spans="1:47" ht="14.25" customHeight="1" x14ac:dyDescent="0.3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  <c r="AL716" s="109"/>
      <c r="AM716" s="109"/>
      <c r="AN716" s="109"/>
      <c r="AO716" s="109"/>
      <c r="AP716" s="109"/>
      <c r="AQ716" s="109"/>
      <c r="AR716" s="109"/>
      <c r="AS716" s="109"/>
      <c r="AT716" s="109"/>
      <c r="AU716" s="109"/>
    </row>
    <row r="717" spans="1:47" ht="14.25" customHeight="1" x14ac:dyDescent="0.3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  <c r="AL717" s="109"/>
      <c r="AM717" s="109"/>
      <c r="AN717" s="109"/>
      <c r="AO717" s="109"/>
      <c r="AP717" s="109"/>
      <c r="AQ717" s="109"/>
      <c r="AR717" s="109"/>
      <c r="AS717" s="109"/>
      <c r="AT717" s="109"/>
      <c r="AU717" s="109"/>
    </row>
    <row r="718" spans="1:47" ht="14.25" customHeight="1" x14ac:dyDescent="0.3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  <c r="AD718" s="109"/>
      <c r="AE718" s="109"/>
      <c r="AF718" s="109"/>
      <c r="AG718" s="109"/>
      <c r="AH718" s="109"/>
      <c r="AI718" s="109"/>
      <c r="AJ718" s="109"/>
      <c r="AK718" s="109"/>
      <c r="AL718" s="109"/>
      <c r="AM718" s="109"/>
      <c r="AN718" s="109"/>
      <c r="AO718" s="109"/>
      <c r="AP718" s="109"/>
      <c r="AQ718" s="109"/>
      <c r="AR718" s="109"/>
      <c r="AS718" s="109"/>
      <c r="AT718" s="109"/>
      <c r="AU718" s="109"/>
    </row>
    <row r="719" spans="1:47" ht="14.25" customHeight="1" x14ac:dyDescent="0.3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09"/>
      <c r="AM719" s="109"/>
      <c r="AN719" s="109"/>
      <c r="AO719" s="109"/>
      <c r="AP719" s="109"/>
      <c r="AQ719" s="109"/>
      <c r="AR719" s="109"/>
      <c r="AS719" s="109"/>
      <c r="AT719" s="109"/>
      <c r="AU719" s="109"/>
    </row>
    <row r="720" spans="1:47" ht="14.25" customHeight="1" x14ac:dyDescent="0.3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  <c r="AD720" s="109"/>
      <c r="AE720" s="109"/>
      <c r="AF720" s="109"/>
      <c r="AG720" s="109"/>
      <c r="AH720" s="109"/>
      <c r="AI720" s="109"/>
      <c r="AJ720" s="109"/>
      <c r="AK720" s="109"/>
      <c r="AL720" s="109"/>
      <c r="AM720" s="109"/>
      <c r="AN720" s="109"/>
      <c r="AO720" s="109"/>
      <c r="AP720" s="109"/>
      <c r="AQ720" s="109"/>
      <c r="AR720" s="109"/>
      <c r="AS720" s="109"/>
      <c r="AT720" s="109"/>
      <c r="AU720" s="109"/>
    </row>
    <row r="721" spans="1:47" ht="14.25" customHeight="1" x14ac:dyDescent="0.3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  <c r="AD721" s="109"/>
      <c r="AE721" s="109"/>
      <c r="AF721" s="109"/>
      <c r="AG721" s="109"/>
      <c r="AH721" s="109"/>
      <c r="AI721" s="109"/>
      <c r="AJ721" s="109"/>
      <c r="AK721" s="109"/>
      <c r="AL721" s="109"/>
      <c r="AM721" s="109"/>
      <c r="AN721" s="109"/>
      <c r="AO721" s="109"/>
      <c r="AP721" s="109"/>
      <c r="AQ721" s="109"/>
      <c r="AR721" s="109"/>
      <c r="AS721" s="109"/>
      <c r="AT721" s="109"/>
      <c r="AU721" s="109"/>
    </row>
    <row r="722" spans="1:47" ht="14.25" customHeight="1" x14ac:dyDescent="0.3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  <c r="AL722" s="109"/>
      <c r="AM722" s="109"/>
      <c r="AN722" s="109"/>
      <c r="AO722" s="109"/>
      <c r="AP722" s="109"/>
      <c r="AQ722" s="109"/>
      <c r="AR722" s="109"/>
      <c r="AS722" s="109"/>
      <c r="AT722" s="109"/>
      <c r="AU722" s="109"/>
    </row>
    <row r="723" spans="1:47" ht="14.25" customHeight="1" x14ac:dyDescent="0.3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  <c r="AL723" s="109"/>
      <c r="AM723" s="109"/>
      <c r="AN723" s="109"/>
      <c r="AO723" s="109"/>
      <c r="AP723" s="109"/>
      <c r="AQ723" s="109"/>
      <c r="AR723" s="109"/>
      <c r="AS723" s="109"/>
      <c r="AT723" s="109"/>
      <c r="AU723" s="109"/>
    </row>
    <row r="724" spans="1:47" ht="14.25" customHeight="1" x14ac:dyDescent="0.3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  <c r="AL724" s="109"/>
      <c r="AM724" s="109"/>
      <c r="AN724" s="109"/>
      <c r="AO724" s="109"/>
      <c r="AP724" s="109"/>
      <c r="AQ724" s="109"/>
      <c r="AR724" s="109"/>
      <c r="AS724" s="109"/>
      <c r="AT724" s="109"/>
      <c r="AU724" s="109"/>
    </row>
    <row r="725" spans="1:47" ht="14.25" customHeight="1" x14ac:dyDescent="0.3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  <c r="AL725" s="109"/>
      <c r="AM725" s="109"/>
      <c r="AN725" s="109"/>
      <c r="AO725" s="109"/>
      <c r="AP725" s="109"/>
      <c r="AQ725" s="109"/>
      <c r="AR725" s="109"/>
      <c r="AS725" s="109"/>
      <c r="AT725" s="109"/>
      <c r="AU725" s="109"/>
    </row>
    <row r="726" spans="1:47" ht="14.25" customHeight="1" x14ac:dyDescent="0.3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  <c r="AL726" s="109"/>
      <c r="AM726" s="109"/>
      <c r="AN726" s="109"/>
      <c r="AO726" s="109"/>
      <c r="AP726" s="109"/>
      <c r="AQ726" s="109"/>
      <c r="AR726" s="109"/>
      <c r="AS726" s="109"/>
      <c r="AT726" s="109"/>
      <c r="AU726" s="109"/>
    </row>
    <row r="727" spans="1:47" ht="14.25" customHeight="1" x14ac:dyDescent="0.3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  <c r="AD727" s="109"/>
      <c r="AE727" s="109"/>
      <c r="AF727" s="109"/>
      <c r="AG727" s="109"/>
      <c r="AH727" s="109"/>
      <c r="AI727" s="109"/>
      <c r="AJ727" s="109"/>
      <c r="AK727" s="109"/>
      <c r="AL727" s="109"/>
      <c r="AM727" s="109"/>
      <c r="AN727" s="109"/>
      <c r="AO727" s="109"/>
      <c r="AP727" s="109"/>
      <c r="AQ727" s="109"/>
      <c r="AR727" s="109"/>
      <c r="AS727" s="109"/>
      <c r="AT727" s="109"/>
      <c r="AU727" s="109"/>
    </row>
    <row r="728" spans="1:47" ht="14.25" customHeight="1" x14ac:dyDescent="0.3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  <c r="AL728" s="109"/>
      <c r="AM728" s="109"/>
      <c r="AN728" s="109"/>
      <c r="AO728" s="109"/>
      <c r="AP728" s="109"/>
      <c r="AQ728" s="109"/>
      <c r="AR728" s="109"/>
      <c r="AS728" s="109"/>
      <c r="AT728" s="109"/>
      <c r="AU728" s="109"/>
    </row>
    <row r="729" spans="1:47" ht="14.25" customHeight="1" x14ac:dyDescent="0.3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  <c r="AL729" s="109"/>
      <c r="AM729" s="109"/>
      <c r="AN729" s="109"/>
      <c r="AO729" s="109"/>
      <c r="AP729" s="109"/>
      <c r="AQ729" s="109"/>
      <c r="AR729" s="109"/>
      <c r="AS729" s="109"/>
      <c r="AT729" s="109"/>
      <c r="AU729" s="109"/>
    </row>
    <row r="730" spans="1:47" ht="14.25" customHeight="1" x14ac:dyDescent="0.3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  <c r="AD730" s="109"/>
      <c r="AE730" s="109"/>
      <c r="AF730" s="109"/>
      <c r="AG730" s="109"/>
      <c r="AH730" s="109"/>
      <c r="AI730" s="109"/>
      <c r="AJ730" s="109"/>
      <c r="AK730" s="109"/>
      <c r="AL730" s="109"/>
      <c r="AM730" s="109"/>
      <c r="AN730" s="109"/>
      <c r="AO730" s="109"/>
      <c r="AP730" s="109"/>
      <c r="AQ730" s="109"/>
      <c r="AR730" s="109"/>
      <c r="AS730" s="109"/>
      <c r="AT730" s="109"/>
      <c r="AU730" s="109"/>
    </row>
    <row r="731" spans="1:47" ht="14.25" customHeight="1" x14ac:dyDescent="0.3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  <c r="AL731" s="109"/>
      <c r="AM731" s="109"/>
      <c r="AN731" s="109"/>
      <c r="AO731" s="109"/>
      <c r="AP731" s="109"/>
      <c r="AQ731" s="109"/>
      <c r="AR731" s="109"/>
      <c r="AS731" s="109"/>
      <c r="AT731" s="109"/>
      <c r="AU731" s="109"/>
    </row>
    <row r="732" spans="1:47" ht="14.25" customHeight="1" x14ac:dyDescent="0.3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  <c r="AD732" s="109"/>
      <c r="AE732" s="109"/>
      <c r="AF732" s="109"/>
      <c r="AG732" s="109"/>
      <c r="AH732" s="109"/>
      <c r="AI732" s="109"/>
      <c r="AJ732" s="109"/>
      <c r="AK732" s="109"/>
      <c r="AL732" s="109"/>
      <c r="AM732" s="109"/>
      <c r="AN732" s="109"/>
      <c r="AO732" s="109"/>
      <c r="AP732" s="109"/>
      <c r="AQ732" s="109"/>
      <c r="AR732" s="109"/>
      <c r="AS732" s="109"/>
      <c r="AT732" s="109"/>
      <c r="AU732" s="109"/>
    </row>
    <row r="733" spans="1:47" ht="14.25" customHeight="1" x14ac:dyDescent="0.3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  <c r="AL733" s="109"/>
      <c r="AM733" s="109"/>
      <c r="AN733" s="109"/>
      <c r="AO733" s="109"/>
      <c r="AP733" s="109"/>
      <c r="AQ733" s="109"/>
      <c r="AR733" s="109"/>
      <c r="AS733" s="109"/>
      <c r="AT733" s="109"/>
      <c r="AU733" s="109"/>
    </row>
    <row r="734" spans="1:47" ht="14.25" customHeight="1" x14ac:dyDescent="0.3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  <c r="AL734" s="109"/>
      <c r="AM734" s="109"/>
      <c r="AN734" s="109"/>
      <c r="AO734" s="109"/>
      <c r="AP734" s="109"/>
      <c r="AQ734" s="109"/>
      <c r="AR734" s="109"/>
      <c r="AS734" s="109"/>
      <c r="AT734" s="109"/>
      <c r="AU734" s="109"/>
    </row>
    <row r="735" spans="1:47" ht="14.25" customHeight="1" x14ac:dyDescent="0.3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  <c r="AD735" s="109"/>
      <c r="AE735" s="109"/>
      <c r="AF735" s="109"/>
      <c r="AG735" s="109"/>
      <c r="AH735" s="109"/>
      <c r="AI735" s="109"/>
      <c r="AJ735" s="109"/>
      <c r="AK735" s="109"/>
      <c r="AL735" s="109"/>
      <c r="AM735" s="109"/>
      <c r="AN735" s="109"/>
      <c r="AO735" s="109"/>
      <c r="AP735" s="109"/>
      <c r="AQ735" s="109"/>
      <c r="AR735" s="109"/>
      <c r="AS735" s="109"/>
      <c r="AT735" s="109"/>
      <c r="AU735" s="109"/>
    </row>
    <row r="736" spans="1:47" ht="14.25" customHeight="1" x14ac:dyDescent="0.3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  <c r="AL736" s="109"/>
      <c r="AM736" s="109"/>
      <c r="AN736" s="109"/>
      <c r="AO736" s="109"/>
      <c r="AP736" s="109"/>
      <c r="AQ736" s="109"/>
      <c r="AR736" s="109"/>
      <c r="AS736" s="109"/>
      <c r="AT736" s="109"/>
      <c r="AU736" s="109"/>
    </row>
    <row r="737" spans="1:47" ht="14.25" customHeight="1" x14ac:dyDescent="0.3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  <c r="AL737" s="109"/>
      <c r="AM737" s="109"/>
      <c r="AN737" s="109"/>
      <c r="AO737" s="109"/>
      <c r="AP737" s="109"/>
      <c r="AQ737" s="109"/>
      <c r="AR737" s="109"/>
      <c r="AS737" s="109"/>
      <c r="AT737" s="109"/>
      <c r="AU737" s="109"/>
    </row>
    <row r="738" spans="1:47" ht="14.25" customHeight="1" x14ac:dyDescent="0.3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  <c r="AL738" s="109"/>
      <c r="AM738" s="109"/>
      <c r="AN738" s="109"/>
      <c r="AO738" s="109"/>
      <c r="AP738" s="109"/>
      <c r="AQ738" s="109"/>
      <c r="AR738" s="109"/>
      <c r="AS738" s="109"/>
      <c r="AT738" s="109"/>
      <c r="AU738" s="109"/>
    </row>
    <row r="739" spans="1:47" ht="14.25" customHeight="1" x14ac:dyDescent="0.3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  <c r="AL739" s="109"/>
      <c r="AM739" s="109"/>
      <c r="AN739" s="109"/>
      <c r="AO739" s="109"/>
      <c r="AP739" s="109"/>
      <c r="AQ739" s="109"/>
      <c r="AR739" s="109"/>
      <c r="AS739" s="109"/>
      <c r="AT739" s="109"/>
      <c r="AU739" s="109"/>
    </row>
    <row r="740" spans="1:47" ht="14.25" customHeight="1" x14ac:dyDescent="0.3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  <c r="AL740" s="109"/>
      <c r="AM740" s="109"/>
      <c r="AN740" s="109"/>
      <c r="AO740" s="109"/>
      <c r="AP740" s="109"/>
      <c r="AQ740" s="109"/>
      <c r="AR740" s="109"/>
      <c r="AS740" s="109"/>
      <c r="AT740" s="109"/>
      <c r="AU740" s="109"/>
    </row>
    <row r="741" spans="1:47" ht="14.25" customHeight="1" x14ac:dyDescent="0.3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  <c r="AL741" s="109"/>
      <c r="AM741" s="109"/>
      <c r="AN741" s="109"/>
      <c r="AO741" s="109"/>
      <c r="AP741" s="109"/>
      <c r="AQ741" s="109"/>
      <c r="AR741" s="109"/>
      <c r="AS741" s="109"/>
      <c r="AT741" s="109"/>
      <c r="AU741" s="109"/>
    </row>
    <row r="742" spans="1:47" ht="14.25" customHeight="1" x14ac:dyDescent="0.3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  <c r="AL742" s="109"/>
      <c r="AM742" s="109"/>
      <c r="AN742" s="109"/>
      <c r="AO742" s="109"/>
      <c r="AP742" s="109"/>
      <c r="AQ742" s="109"/>
      <c r="AR742" s="109"/>
      <c r="AS742" s="109"/>
      <c r="AT742" s="109"/>
      <c r="AU742" s="109"/>
    </row>
    <row r="743" spans="1:47" ht="14.25" customHeight="1" x14ac:dyDescent="0.3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  <c r="AD743" s="109"/>
      <c r="AE743" s="109"/>
      <c r="AF743" s="109"/>
      <c r="AG743" s="109"/>
      <c r="AH743" s="109"/>
      <c r="AI743" s="109"/>
      <c r="AJ743" s="109"/>
      <c r="AK743" s="109"/>
      <c r="AL743" s="109"/>
      <c r="AM743" s="109"/>
      <c r="AN743" s="109"/>
      <c r="AO743" s="109"/>
      <c r="AP743" s="109"/>
      <c r="AQ743" s="109"/>
      <c r="AR743" s="109"/>
      <c r="AS743" s="109"/>
      <c r="AT743" s="109"/>
      <c r="AU743" s="109"/>
    </row>
    <row r="744" spans="1:47" ht="14.25" customHeight="1" x14ac:dyDescent="0.3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  <c r="AD744" s="109"/>
      <c r="AE744" s="109"/>
      <c r="AF744" s="109"/>
      <c r="AG744" s="109"/>
      <c r="AH744" s="109"/>
      <c r="AI744" s="109"/>
      <c r="AJ744" s="109"/>
      <c r="AK744" s="109"/>
      <c r="AL744" s="109"/>
      <c r="AM744" s="109"/>
      <c r="AN744" s="109"/>
      <c r="AO744" s="109"/>
      <c r="AP744" s="109"/>
      <c r="AQ744" s="109"/>
      <c r="AR744" s="109"/>
      <c r="AS744" s="109"/>
      <c r="AT744" s="109"/>
      <c r="AU744" s="109"/>
    </row>
    <row r="745" spans="1:47" ht="14.25" customHeight="1" x14ac:dyDescent="0.3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  <c r="AD745" s="109"/>
      <c r="AE745" s="109"/>
      <c r="AF745" s="109"/>
      <c r="AG745" s="109"/>
      <c r="AH745" s="109"/>
      <c r="AI745" s="109"/>
      <c r="AJ745" s="109"/>
      <c r="AK745" s="109"/>
      <c r="AL745" s="109"/>
      <c r="AM745" s="109"/>
      <c r="AN745" s="109"/>
      <c r="AO745" s="109"/>
      <c r="AP745" s="109"/>
      <c r="AQ745" s="109"/>
      <c r="AR745" s="109"/>
      <c r="AS745" s="109"/>
      <c r="AT745" s="109"/>
      <c r="AU745" s="109"/>
    </row>
    <row r="746" spans="1:47" ht="14.25" customHeight="1" x14ac:dyDescent="0.3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  <c r="AD746" s="109"/>
      <c r="AE746" s="109"/>
      <c r="AF746" s="109"/>
      <c r="AG746" s="109"/>
      <c r="AH746" s="109"/>
      <c r="AI746" s="109"/>
      <c r="AJ746" s="109"/>
      <c r="AK746" s="109"/>
      <c r="AL746" s="109"/>
      <c r="AM746" s="109"/>
      <c r="AN746" s="109"/>
      <c r="AO746" s="109"/>
      <c r="AP746" s="109"/>
      <c r="AQ746" s="109"/>
      <c r="AR746" s="109"/>
      <c r="AS746" s="109"/>
      <c r="AT746" s="109"/>
      <c r="AU746" s="109"/>
    </row>
    <row r="747" spans="1:47" ht="14.25" customHeight="1" x14ac:dyDescent="0.3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  <c r="AL747" s="109"/>
      <c r="AM747" s="109"/>
      <c r="AN747" s="109"/>
      <c r="AO747" s="109"/>
      <c r="AP747" s="109"/>
      <c r="AQ747" s="109"/>
      <c r="AR747" s="109"/>
      <c r="AS747" s="109"/>
      <c r="AT747" s="109"/>
      <c r="AU747" s="109"/>
    </row>
    <row r="748" spans="1:47" ht="14.25" customHeight="1" x14ac:dyDescent="0.3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  <c r="AD748" s="109"/>
      <c r="AE748" s="109"/>
      <c r="AF748" s="109"/>
      <c r="AG748" s="109"/>
      <c r="AH748" s="109"/>
      <c r="AI748" s="109"/>
      <c r="AJ748" s="109"/>
      <c r="AK748" s="109"/>
      <c r="AL748" s="109"/>
      <c r="AM748" s="109"/>
      <c r="AN748" s="109"/>
      <c r="AO748" s="109"/>
      <c r="AP748" s="109"/>
      <c r="AQ748" s="109"/>
      <c r="AR748" s="109"/>
      <c r="AS748" s="109"/>
      <c r="AT748" s="109"/>
      <c r="AU748" s="109"/>
    </row>
    <row r="749" spans="1:47" ht="14.25" customHeight="1" x14ac:dyDescent="0.3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  <c r="AD749" s="109"/>
      <c r="AE749" s="109"/>
      <c r="AF749" s="109"/>
      <c r="AG749" s="109"/>
      <c r="AH749" s="109"/>
      <c r="AI749" s="109"/>
      <c r="AJ749" s="109"/>
      <c r="AK749" s="109"/>
      <c r="AL749" s="109"/>
      <c r="AM749" s="109"/>
      <c r="AN749" s="109"/>
      <c r="AO749" s="109"/>
      <c r="AP749" s="109"/>
      <c r="AQ749" s="109"/>
      <c r="AR749" s="109"/>
      <c r="AS749" s="109"/>
      <c r="AT749" s="109"/>
      <c r="AU749" s="109"/>
    </row>
    <row r="750" spans="1:47" ht="14.25" customHeight="1" x14ac:dyDescent="0.3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  <c r="AD750" s="109"/>
      <c r="AE750" s="109"/>
      <c r="AF750" s="109"/>
      <c r="AG750" s="109"/>
      <c r="AH750" s="109"/>
      <c r="AI750" s="109"/>
      <c r="AJ750" s="109"/>
      <c r="AK750" s="109"/>
      <c r="AL750" s="109"/>
      <c r="AM750" s="109"/>
      <c r="AN750" s="109"/>
      <c r="AO750" s="109"/>
      <c r="AP750" s="109"/>
      <c r="AQ750" s="109"/>
      <c r="AR750" s="109"/>
      <c r="AS750" s="109"/>
      <c r="AT750" s="109"/>
      <c r="AU750" s="109"/>
    </row>
    <row r="751" spans="1:47" ht="14.25" customHeight="1" x14ac:dyDescent="0.3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  <c r="AD751" s="109"/>
      <c r="AE751" s="109"/>
      <c r="AF751" s="109"/>
      <c r="AG751" s="109"/>
      <c r="AH751" s="109"/>
      <c r="AI751" s="109"/>
      <c r="AJ751" s="109"/>
      <c r="AK751" s="109"/>
      <c r="AL751" s="109"/>
      <c r="AM751" s="109"/>
      <c r="AN751" s="109"/>
      <c r="AO751" s="109"/>
      <c r="AP751" s="109"/>
      <c r="AQ751" s="109"/>
      <c r="AR751" s="109"/>
      <c r="AS751" s="109"/>
      <c r="AT751" s="109"/>
      <c r="AU751" s="109"/>
    </row>
    <row r="752" spans="1:47" ht="14.25" customHeight="1" x14ac:dyDescent="0.3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09"/>
      <c r="AJ752" s="109"/>
      <c r="AK752" s="109"/>
      <c r="AL752" s="109"/>
      <c r="AM752" s="109"/>
      <c r="AN752" s="109"/>
      <c r="AO752" s="109"/>
      <c r="AP752" s="109"/>
      <c r="AQ752" s="109"/>
      <c r="AR752" s="109"/>
      <c r="AS752" s="109"/>
      <c r="AT752" s="109"/>
      <c r="AU752" s="109"/>
    </row>
    <row r="753" spans="1:47" ht="14.25" customHeight="1" x14ac:dyDescent="0.3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  <c r="AL753" s="109"/>
      <c r="AM753" s="109"/>
      <c r="AN753" s="109"/>
      <c r="AO753" s="109"/>
      <c r="AP753" s="109"/>
      <c r="AQ753" s="109"/>
      <c r="AR753" s="109"/>
      <c r="AS753" s="109"/>
      <c r="AT753" s="109"/>
      <c r="AU753" s="109"/>
    </row>
    <row r="754" spans="1:47" ht="14.25" customHeight="1" x14ac:dyDescent="0.3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  <c r="AD754" s="109"/>
      <c r="AE754" s="109"/>
      <c r="AF754" s="109"/>
      <c r="AG754" s="109"/>
      <c r="AH754" s="109"/>
      <c r="AI754" s="109"/>
      <c r="AJ754" s="109"/>
      <c r="AK754" s="109"/>
      <c r="AL754" s="109"/>
      <c r="AM754" s="109"/>
      <c r="AN754" s="109"/>
      <c r="AO754" s="109"/>
      <c r="AP754" s="109"/>
      <c r="AQ754" s="109"/>
      <c r="AR754" s="109"/>
      <c r="AS754" s="109"/>
      <c r="AT754" s="109"/>
      <c r="AU754" s="109"/>
    </row>
    <row r="755" spans="1:47" ht="14.25" customHeight="1" x14ac:dyDescent="0.3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  <c r="AL755" s="109"/>
      <c r="AM755" s="109"/>
      <c r="AN755" s="109"/>
      <c r="AO755" s="109"/>
      <c r="AP755" s="109"/>
      <c r="AQ755" s="109"/>
      <c r="AR755" s="109"/>
      <c r="AS755" s="109"/>
      <c r="AT755" s="109"/>
      <c r="AU755" s="109"/>
    </row>
    <row r="756" spans="1:47" ht="14.25" customHeight="1" x14ac:dyDescent="0.3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  <c r="AL756" s="109"/>
      <c r="AM756" s="109"/>
      <c r="AN756" s="109"/>
      <c r="AO756" s="109"/>
      <c r="AP756" s="109"/>
      <c r="AQ756" s="109"/>
      <c r="AR756" s="109"/>
      <c r="AS756" s="109"/>
      <c r="AT756" s="109"/>
      <c r="AU756" s="109"/>
    </row>
    <row r="757" spans="1:47" ht="14.25" customHeight="1" x14ac:dyDescent="0.3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09"/>
      <c r="AL757" s="109"/>
      <c r="AM757" s="109"/>
      <c r="AN757" s="109"/>
      <c r="AO757" s="109"/>
      <c r="AP757" s="109"/>
      <c r="AQ757" s="109"/>
      <c r="AR757" s="109"/>
      <c r="AS757" s="109"/>
      <c r="AT757" s="109"/>
      <c r="AU757" s="109"/>
    </row>
    <row r="758" spans="1:47" ht="14.25" customHeight="1" x14ac:dyDescent="0.3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  <c r="AD758" s="109"/>
      <c r="AE758" s="109"/>
      <c r="AF758" s="109"/>
      <c r="AG758" s="109"/>
      <c r="AH758" s="109"/>
      <c r="AI758" s="109"/>
      <c r="AJ758" s="109"/>
      <c r="AK758" s="109"/>
      <c r="AL758" s="109"/>
      <c r="AM758" s="109"/>
      <c r="AN758" s="109"/>
      <c r="AO758" s="109"/>
      <c r="AP758" s="109"/>
      <c r="AQ758" s="109"/>
      <c r="AR758" s="109"/>
      <c r="AS758" s="109"/>
      <c r="AT758" s="109"/>
      <c r="AU758" s="109"/>
    </row>
    <row r="759" spans="1:47" ht="14.25" customHeight="1" x14ac:dyDescent="0.3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  <c r="AD759" s="109"/>
      <c r="AE759" s="109"/>
      <c r="AF759" s="109"/>
      <c r="AG759" s="109"/>
      <c r="AH759" s="109"/>
      <c r="AI759" s="109"/>
      <c r="AJ759" s="109"/>
      <c r="AK759" s="109"/>
      <c r="AL759" s="109"/>
      <c r="AM759" s="109"/>
      <c r="AN759" s="109"/>
      <c r="AO759" s="109"/>
      <c r="AP759" s="109"/>
      <c r="AQ759" s="109"/>
      <c r="AR759" s="109"/>
      <c r="AS759" s="109"/>
      <c r="AT759" s="109"/>
      <c r="AU759" s="109"/>
    </row>
    <row r="760" spans="1:47" ht="14.25" customHeight="1" x14ac:dyDescent="0.3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  <c r="AD760" s="109"/>
      <c r="AE760" s="109"/>
      <c r="AF760" s="109"/>
      <c r="AG760" s="109"/>
      <c r="AH760" s="109"/>
      <c r="AI760" s="109"/>
      <c r="AJ760" s="109"/>
      <c r="AK760" s="109"/>
      <c r="AL760" s="109"/>
      <c r="AM760" s="109"/>
      <c r="AN760" s="109"/>
      <c r="AO760" s="109"/>
      <c r="AP760" s="109"/>
      <c r="AQ760" s="109"/>
      <c r="AR760" s="109"/>
      <c r="AS760" s="109"/>
      <c r="AT760" s="109"/>
      <c r="AU760" s="109"/>
    </row>
    <row r="761" spans="1:47" ht="14.25" customHeight="1" x14ac:dyDescent="0.3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  <c r="AD761" s="109"/>
      <c r="AE761" s="109"/>
      <c r="AF761" s="109"/>
      <c r="AG761" s="109"/>
      <c r="AH761" s="109"/>
      <c r="AI761" s="109"/>
      <c r="AJ761" s="109"/>
      <c r="AK761" s="109"/>
      <c r="AL761" s="109"/>
      <c r="AM761" s="109"/>
      <c r="AN761" s="109"/>
      <c r="AO761" s="109"/>
      <c r="AP761" s="109"/>
      <c r="AQ761" s="109"/>
      <c r="AR761" s="109"/>
      <c r="AS761" s="109"/>
      <c r="AT761" s="109"/>
      <c r="AU761" s="109"/>
    </row>
    <row r="762" spans="1:47" ht="14.25" customHeight="1" x14ac:dyDescent="0.3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  <c r="AD762" s="109"/>
      <c r="AE762" s="109"/>
      <c r="AF762" s="109"/>
      <c r="AG762" s="109"/>
      <c r="AH762" s="109"/>
      <c r="AI762" s="109"/>
      <c r="AJ762" s="109"/>
      <c r="AK762" s="109"/>
      <c r="AL762" s="109"/>
      <c r="AM762" s="109"/>
      <c r="AN762" s="109"/>
      <c r="AO762" s="109"/>
      <c r="AP762" s="109"/>
      <c r="AQ762" s="109"/>
      <c r="AR762" s="109"/>
      <c r="AS762" s="109"/>
      <c r="AT762" s="109"/>
      <c r="AU762" s="109"/>
    </row>
    <row r="763" spans="1:47" ht="14.25" customHeight="1" x14ac:dyDescent="0.3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  <c r="AL763" s="109"/>
      <c r="AM763" s="109"/>
      <c r="AN763" s="109"/>
      <c r="AO763" s="109"/>
      <c r="AP763" s="109"/>
      <c r="AQ763" s="109"/>
      <c r="AR763" s="109"/>
      <c r="AS763" s="109"/>
      <c r="AT763" s="109"/>
      <c r="AU763" s="109"/>
    </row>
    <row r="764" spans="1:47" ht="14.25" customHeight="1" x14ac:dyDescent="0.3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  <c r="AL764" s="109"/>
      <c r="AM764" s="109"/>
      <c r="AN764" s="109"/>
      <c r="AO764" s="109"/>
      <c r="AP764" s="109"/>
      <c r="AQ764" s="109"/>
      <c r="AR764" s="109"/>
      <c r="AS764" s="109"/>
      <c r="AT764" s="109"/>
      <c r="AU764" s="109"/>
    </row>
    <row r="765" spans="1:47" ht="14.25" customHeight="1" x14ac:dyDescent="0.3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  <c r="AD765" s="109"/>
      <c r="AE765" s="109"/>
      <c r="AF765" s="109"/>
      <c r="AG765" s="109"/>
      <c r="AH765" s="109"/>
      <c r="AI765" s="109"/>
      <c r="AJ765" s="109"/>
      <c r="AK765" s="109"/>
      <c r="AL765" s="109"/>
      <c r="AM765" s="109"/>
      <c r="AN765" s="109"/>
      <c r="AO765" s="109"/>
      <c r="AP765" s="109"/>
      <c r="AQ765" s="109"/>
      <c r="AR765" s="109"/>
      <c r="AS765" s="109"/>
      <c r="AT765" s="109"/>
      <c r="AU765" s="109"/>
    </row>
    <row r="766" spans="1:47" ht="14.25" customHeight="1" x14ac:dyDescent="0.3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  <c r="AD766" s="109"/>
      <c r="AE766" s="109"/>
      <c r="AF766" s="109"/>
      <c r="AG766" s="109"/>
      <c r="AH766" s="109"/>
      <c r="AI766" s="109"/>
      <c r="AJ766" s="109"/>
      <c r="AK766" s="109"/>
      <c r="AL766" s="109"/>
      <c r="AM766" s="109"/>
      <c r="AN766" s="109"/>
      <c r="AO766" s="109"/>
      <c r="AP766" s="109"/>
      <c r="AQ766" s="109"/>
      <c r="AR766" s="109"/>
      <c r="AS766" s="109"/>
      <c r="AT766" s="109"/>
      <c r="AU766" s="109"/>
    </row>
    <row r="767" spans="1:47" ht="14.25" customHeight="1" x14ac:dyDescent="0.3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  <c r="AD767" s="109"/>
      <c r="AE767" s="109"/>
      <c r="AF767" s="109"/>
      <c r="AG767" s="109"/>
      <c r="AH767" s="109"/>
      <c r="AI767" s="109"/>
      <c r="AJ767" s="109"/>
      <c r="AK767" s="109"/>
      <c r="AL767" s="109"/>
      <c r="AM767" s="109"/>
      <c r="AN767" s="109"/>
      <c r="AO767" s="109"/>
      <c r="AP767" s="109"/>
      <c r="AQ767" s="109"/>
      <c r="AR767" s="109"/>
      <c r="AS767" s="109"/>
      <c r="AT767" s="109"/>
      <c r="AU767" s="109"/>
    </row>
    <row r="768" spans="1:47" ht="14.25" customHeight="1" x14ac:dyDescent="0.3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  <c r="AD768" s="109"/>
      <c r="AE768" s="109"/>
      <c r="AF768" s="109"/>
      <c r="AG768" s="109"/>
      <c r="AH768" s="109"/>
      <c r="AI768" s="109"/>
      <c r="AJ768" s="109"/>
      <c r="AK768" s="109"/>
      <c r="AL768" s="109"/>
      <c r="AM768" s="109"/>
      <c r="AN768" s="109"/>
      <c r="AO768" s="109"/>
      <c r="AP768" s="109"/>
      <c r="AQ768" s="109"/>
      <c r="AR768" s="109"/>
      <c r="AS768" s="109"/>
      <c r="AT768" s="109"/>
      <c r="AU768" s="109"/>
    </row>
    <row r="769" spans="1:47" ht="14.25" customHeight="1" x14ac:dyDescent="0.3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  <c r="AD769" s="109"/>
      <c r="AE769" s="109"/>
      <c r="AF769" s="109"/>
      <c r="AG769" s="109"/>
      <c r="AH769" s="109"/>
      <c r="AI769" s="109"/>
      <c r="AJ769" s="109"/>
      <c r="AK769" s="109"/>
      <c r="AL769" s="109"/>
      <c r="AM769" s="109"/>
      <c r="AN769" s="109"/>
      <c r="AO769" s="109"/>
      <c r="AP769" s="109"/>
      <c r="AQ769" s="109"/>
      <c r="AR769" s="109"/>
      <c r="AS769" s="109"/>
      <c r="AT769" s="109"/>
      <c r="AU769" s="109"/>
    </row>
    <row r="770" spans="1:47" ht="14.25" customHeight="1" x14ac:dyDescent="0.3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  <c r="AD770" s="109"/>
      <c r="AE770" s="109"/>
      <c r="AF770" s="109"/>
      <c r="AG770" s="109"/>
      <c r="AH770" s="109"/>
      <c r="AI770" s="109"/>
      <c r="AJ770" s="109"/>
      <c r="AK770" s="109"/>
      <c r="AL770" s="109"/>
      <c r="AM770" s="109"/>
      <c r="AN770" s="109"/>
      <c r="AO770" s="109"/>
      <c r="AP770" s="109"/>
      <c r="AQ770" s="109"/>
      <c r="AR770" s="109"/>
      <c r="AS770" s="109"/>
      <c r="AT770" s="109"/>
      <c r="AU770" s="109"/>
    </row>
    <row r="771" spans="1:47" ht="14.25" customHeight="1" x14ac:dyDescent="0.3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  <c r="AD771" s="109"/>
      <c r="AE771" s="109"/>
      <c r="AF771" s="109"/>
      <c r="AG771" s="109"/>
      <c r="AH771" s="109"/>
      <c r="AI771" s="109"/>
      <c r="AJ771" s="109"/>
      <c r="AK771" s="109"/>
      <c r="AL771" s="109"/>
      <c r="AM771" s="109"/>
      <c r="AN771" s="109"/>
      <c r="AO771" s="109"/>
      <c r="AP771" s="109"/>
      <c r="AQ771" s="109"/>
      <c r="AR771" s="109"/>
      <c r="AS771" s="109"/>
      <c r="AT771" s="109"/>
      <c r="AU771" s="109"/>
    </row>
    <row r="772" spans="1:47" ht="14.25" customHeight="1" x14ac:dyDescent="0.3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  <c r="AD772" s="109"/>
      <c r="AE772" s="109"/>
      <c r="AF772" s="109"/>
      <c r="AG772" s="109"/>
      <c r="AH772" s="109"/>
      <c r="AI772" s="109"/>
      <c r="AJ772" s="109"/>
      <c r="AK772" s="109"/>
      <c r="AL772" s="109"/>
      <c r="AM772" s="109"/>
      <c r="AN772" s="109"/>
      <c r="AO772" s="109"/>
      <c r="AP772" s="109"/>
      <c r="AQ772" s="109"/>
      <c r="AR772" s="109"/>
      <c r="AS772" s="109"/>
      <c r="AT772" s="109"/>
      <c r="AU772" s="109"/>
    </row>
    <row r="773" spans="1:47" ht="14.25" customHeight="1" x14ac:dyDescent="0.3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  <c r="AD773" s="109"/>
      <c r="AE773" s="109"/>
      <c r="AF773" s="109"/>
      <c r="AG773" s="109"/>
      <c r="AH773" s="109"/>
      <c r="AI773" s="109"/>
      <c r="AJ773" s="109"/>
      <c r="AK773" s="109"/>
      <c r="AL773" s="109"/>
      <c r="AM773" s="109"/>
      <c r="AN773" s="109"/>
      <c r="AO773" s="109"/>
      <c r="AP773" s="109"/>
      <c r="AQ773" s="109"/>
      <c r="AR773" s="109"/>
      <c r="AS773" s="109"/>
      <c r="AT773" s="109"/>
      <c r="AU773" s="109"/>
    </row>
    <row r="774" spans="1:47" ht="14.25" customHeight="1" x14ac:dyDescent="0.3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09"/>
      <c r="AJ774" s="109"/>
      <c r="AK774" s="109"/>
      <c r="AL774" s="109"/>
      <c r="AM774" s="109"/>
      <c r="AN774" s="109"/>
      <c r="AO774" s="109"/>
      <c r="AP774" s="109"/>
      <c r="AQ774" s="109"/>
      <c r="AR774" s="109"/>
      <c r="AS774" s="109"/>
      <c r="AT774" s="109"/>
      <c r="AU774" s="109"/>
    </row>
    <row r="775" spans="1:47" ht="14.25" customHeight="1" x14ac:dyDescent="0.3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  <c r="AD775" s="109"/>
      <c r="AE775" s="109"/>
      <c r="AF775" s="109"/>
      <c r="AG775" s="109"/>
      <c r="AH775" s="109"/>
      <c r="AI775" s="109"/>
      <c r="AJ775" s="109"/>
      <c r="AK775" s="109"/>
      <c r="AL775" s="109"/>
      <c r="AM775" s="109"/>
      <c r="AN775" s="109"/>
      <c r="AO775" s="109"/>
      <c r="AP775" s="109"/>
      <c r="AQ775" s="109"/>
      <c r="AR775" s="109"/>
      <c r="AS775" s="109"/>
      <c r="AT775" s="109"/>
      <c r="AU775" s="109"/>
    </row>
    <row r="776" spans="1:47" ht="14.25" customHeight="1" x14ac:dyDescent="0.3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  <c r="AD776" s="109"/>
      <c r="AE776" s="109"/>
      <c r="AF776" s="109"/>
      <c r="AG776" s="109"/>
      <c r="AH776" s="109"/>
      <c r="AI776" s="109"/>
      <c r="AJ776" s="109"/>
      <c r="AK776" s="109"/>
      <c r="AL776" s="109"/>
      <c r="AM776" s="109"/>
      <c r="AN776" s="109"/>
      <c r="AO776" s="109"/>
      <c r="AP776" s="109"/>
      <c r="AQ776" s="109"/>
      <c r="AR776" s="109"/>
      <c r="AS776" s="109"/>
      <c r="AT776" s="109"/>
      <c r="AU776" s="109"/>
    </row>
    <row r="777" spans="1:47" ht="14.25" customHeight="1" x14ac:dyDescent="0.3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09"/>
      <c r="AI777" s="109"/>
      <c r="AJ777" s="109"/>
      <c r="AK777" s="109"/>
      <c r="AL777" s="109"/>
      <c r="AM777" s="109"/>
      <c r="AN777" s="109"/>
      <c r="AO777" s="109"/>
      <c r="AP777" s="109"/>
      <c r="AQ777" s="109"/>
      <c r="AR777" s="109"/>
      <c r="AS777" s="109"/>
      <c r="AT777" s="109"/>
      <c r="AU777" s="109"/>
    </row>
    <row r="778" spans="1:47" ht="14.25" customHeight="1" x14ac:dyDescent="0.3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  <c r="AL778" s="109"/>
      <c r="AM778" s="109"/>
      <c r="AN778" s="109"/>
      <c r="AO778" s="109"/>
      <c r="AP778" s="109"/>
      <c r="AQ778" s="109"/>
      <c r="AR778" s="109"/>
      <c r="AS778" s="109"/>
      <c r="AT778" s="109"/>
      <c r="AU778" s="109"/>
    </row>
    <row r="779" spans="1:47" ht="14.25" customHeight="1" x14ac:dyDescent="0.3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09"/>
      <c r="AI779" s="109"/>
      <c r="AJ779" s="109"/>
      <c r="AK779" s="109"/>
      <c r="AL779" s="109"/>
      <c r="AM779" s="109"/>
      <c r="AN779" s="109"/>
      <c r="AO779" s="109"/>
      <c r="AP779" s="109"/>
      <c r="AQ779" s="109"/>
      <c r="AR779" s="109"/>
      <c r="AS779" s="109"/>
      <c r="AT779" s="109"/>
      <c r="AU779" s="109"/>
    </row>
    <row r="780" spans="1:47" ht="14.25" customHeight="1" x14ac:dyDescent="0.3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09"/>
      <c r="AI780" s="109"/>
      <c r="AJ780" s="109"/>
      <c r="AK780" s="109"/>
      <c r="AL780" s="109"/>
      <c r="AM780" s="109"/>
      <c r="AN780" s="109"/>
      <c r="AO780" s="109"/>
      <c r="AP780" s="109"/>
      <c r="AQ780" s="109"/>
      <c r="AR780" s="109"/>
      <c r="AS780" s="109"/>
      <c r="AT780" s="109"/>
      <c r="AU780" s="109"/>
    </row>
    <row r="781" spans="1:47" ht="14.25" customHeight="1" x14ac:dyDescent="0.3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09"/>
      <c r="AI781" s="109"/>
      <c r="AJ781" s="109"/>
      <c r="AK781" s="109"/>
      <c r="AL781" s="109"/>
      <c r="AM781" s="109"/>
      <c r="AN781" s="109"/>
      <c r="AO781" s="109"/>
      <c r="AP781" s="109"/>
      <c r="AQ781" s="109"/>
      <c r="AR781" s="109"/>
      <c r="AS781" s="109"/>
      <c r="AT781" s="109"/>
      <c r="AU781" s="109"/>
    </row>
    <row r="782" spans="1:47" ht="14.25" customHeight="1" x14ac:dyDescent="0.3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09"/>
      <c r="AI782" s="109"/>
      <c r="AJ782" s="109"/>
      <c r="AK782" s="109"/>
      <c r="AL782" s="109"/>
      <c r="AM782" s="109"/>
      <c r="AN782" s="109"/>
      <c r="AO782" s="109"/>
      <c r="AP782" s="109"/>
      <c r="AQ782" s="109"/>
      <c r="AR782" s="109"/>
      <c r="AS782" s="109"/>
      <c r="AT782" s="109"/>
      <c r="AU782" s="109"/>
    </row>
    <row r="783" spans="1:47" ht="14.25" customHeight="1" x14ac:dyDescent="0.3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09"/>
      <c r="AI783" s="109"/>
      <c r="AJ783" s="109"/>
      <c r="AK783" s="109"/>
      <c r="AL783" s="109"/>
      <c r="AM783" s="109"/>
      <c r="AN783" s="109"/>
      <c r="AO783" s="109"/>
      <c r="AP783" s="109"/>
      <c r="AQ783" s="109"/>
      <c r="AR783" s="109"/>
      <c r="AS783" s="109"/>
      <c r="AT783" s="109"/>
      <c r="AU783" s="109"/>
    </row>
    <row r="784" spans="1:47" ht="14.25" customHeight="1" x14ac:dyDescent="0.3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  <c r="AL784" s="109"/>
      <c r="AM784" s="109"/>
      <c r="AN784" s="109"/>
      <c r="AO784" s="109"/>
      <c r="AP784" s="109"/>
      <c r="AQ784" s="109"/>
      <c r="AR784" s="109"/>
      <c r="AS784" s="109"/>
      <c r="AT784" s="109"/>
      <c r="AU784" s="109"/>
    </row>
    <row r="785" spans="1:47" ht="14.25" customHeight="1" x14ac:dyDescent="0.3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  <c r="AL785" s="109"/>
      <c r="AM785" s="109"/>
      <c r="AN785" s="109"/>
      <c r="AO785" s="109"/>
      <c r="AP785" s="109"/>
      <c r="AQ785" s="109"/>
      <c r="AR785" s="109"/>
      <c r="AS785" s="109"/>
      <c r="AT785" s="109"/>
      <c r="AU785" s="109"/>
    </row>
    <row r="786" spans="1:47" ht="14.25" customHeight="1" x14ac:dyDescent="0.3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  <c r="AL786" s="109"/>
      <c r="AM786" s="109"/>
      <c r="AN786" s="109"/>
      <c r="AO786" s="109"/>
      <c r="AP786" s="109"/>
      <c r="AQ786" s="109"/>
      <c r="AR786" s="109"/>
      <c r="AS786" s="109"/>
      <c r="AT786" s="109"/>
      <c r="AU786" s="109"/>
    </row>
    <row r="787" spans="1:47" ht="14.25" customHeight="1" x14ac:dyDescent="0.3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  <c r="AL787" s="109"/>
      <c r="AM787" s="109"/>
      <c r="AN787" s="109"/>
      <c r="AO787" s="109"/>
      <c r="AP787" s="109"/>
      <c r="AQ787" s="109"/>
      <c r="AR787" s="109"/>
      <c r="AS787" s="109"/>
      <c r="AT787" s="109"/>
      <c r="AU787" s="109"/>
    </row>
    <row r="788" spans="1:47" ht="14.25" customHeight="1" x14ac:dyDescent="0.3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  <c r="AL788" s="109"/>
      <c r="AM788" s="109"/>
      <c r="AN788" s="109"/>
      <c r="AO788" s="109"/>
      <c r="AP788" s="109"/>
      <c r="AQ788" s="109"/>
      <c r="AR788" s="109"/>
      <c r="AS788" s="109"/>
      <c r="AT788" s="109"/>
      <c r="AU788" s="109"/>
    </row>
    <row r="789" spans="1:47" ht="14.25" customHeight="1" x14ac:dyDescent="0.3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  <c r="AL789" s="109"/>
      <c r="AM789" s="109"/>
      <c r="AN789" s="109"/>
      <c r="AO789" s="109"/>
      <c r="AP789" s="109"/>
      <c r="AQ789" s="109"/>
      <c r="AR789" s="109"/>
      <c r="AS789" s="109"/>
      <c r="AT789" s="109"/>
      <c r="AU789" s="109"/>
    </row>
    <row r="790" spans="1:47" ht="14.25" customHeight="1" x14ac:dyDescent="0.3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  <c r="AL790" s="109"/>
      <c r="AM790" s="109"/>
      <c r="AN790" s="109"/>
      <c r="AO790" s="109"/>
      <c r="AP790" s="109"/>
      <c r="AQ790" s="109"/>
      <c r="AR790" s="109"/>
      <c r="AS790" s="109"/>
      <c r="AT790" s="109"/>
      <c r="AU790" s="109"/>
    </row>
    <row r="791" spans="1:47" ht="14.25" customHeight="1" x14ac:dyDescent="0.3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  <c r="AL791" s="109"/>
      <c r="AM791" s="109"/>
      <c r="AN791" s="109"/>
      <c r="AO791" s="109"/>
      <c r="AP791" s="109"/>
      <c r="AQ791" s="109"/>
      <c r="AR791" s="109"/>
      <c r="AS791" s="109"/>
      <c r="AT791" s="109"/>
      <c r="AU791" s="109"/>
    </row>
    <row r="792" spans="1:47" ht="14.25" customHeight="1" x14ac:dyDescent="0.3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  <c r="AL792" s="109"/>
      <c r="AM792" s="109"/>
      <c r="AN792" s="109"/>
      <c r="AO792" s="109"/>
      <c r="AP792" s="109"/>
      <c r="AQ792" s="109"/>
      <c r="AR792" s="109"/>
      <c r="AS792" s="109"/>
      <c r="AT792" s="109"/>
      <c r="AU792" s="109"/>
    </row>
    <row r="793" spans="1:47" ht="14.25" customHeight="1" x14ac:dyDescent="0.3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09"/>
      <c r="AI793" s="109"/>
      <c r="AJ793" s="109"/>
      <c r="AK793" s="109"/>
      <c r="AL793" s="109"/>
      <c r="AM793" s="109"/>
      <c r="AN793" s="109"/>
      <c r="AO793" s="109"/>
      <c r="AP793" s="109"/>
      <c r="AQ793" s="109"/>
      <c r="AR793" s="109"/>
      <c r="AS793" s="109"/>
      <c r="AT793" s="109"/>
      <c r="AU793" s="109"/>
    </row>
    <row r="794" spans="1:47" ht="14.25" customHeight="1" x14ac:dyDescent="0.3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09"/>
      <c r="AI794" s="109"/>
      <c r="AJ794" s="109"/>
      <c r="AK794" s="109"/>
      <c r="AL794" s="109"/>
      <c r="AM794" s="109"/>
      <c r="AN794" s="109"/>
      <c r="AO794" s="109"/>
      <c r="AP794" s="109"/>
      <c r="AQ794" s="109"/>
      <c r="AR794" s="109"/>
      <c r="AS794" s="109"/>
      <c r="AT794" s="109"/>
      <c r="AU794" s="109"/>
    </row>
    <row r="795" spans="1:47" ht="14.25" customHeight="1" x14ac:dyDescent="0.3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09"/>
      <c r="AI795" s="109"/>
      <c r="AJ795" s="109"/>
      <c r="AK795" s="109"/>
      <c r="AL795" s="109"/>
      <c r="AM795" s="109"/>
      <c r="AN795" s="109"/>
      <c r="AO795" s="109"/>
      <c r="AP795" s="109"/>
      <c r="AQ795" s="109"/>
      <c r="AR795" s="109"/>
      <c r="AS795" s="109"/>
      <c r="AT795" s="109"/>
      <c r="AU795" s="109"/>
    </row>
    <row r="796" spans="1:47" ht="14.25" customHeight="1" x14ac:dyDescent="0.3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09"/>
      <c r="AI796" s="109"/>
      <c r="AJ796" s="109"/>
      <c r="AK796" s="109"/>
      <c r="AL796" s="109"/>
      <c r="AM796" s="109"/>
      <c r="AN796" s="109"/>
      <c r="AO796" s="109"/>
      <c r="AP796" s="109"/>
      <c r="AQ796" s="109"/>
      <c r="AR796" s="109"/>
      <c r="AS796" s="109"/>
      <c r="AT796" s="109"/>
      <c r="AU796" s="109"/>
    </row>
    <row r="797" spans="1:47" ht="14.25" customHeight="1" x14ac:dyDescent="0.3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09"/>
      <c r="AH797" s="109"/>
      <c r="AI797" s="109"/>
      <c r="AJ797" s="109"/>
      <c r="AK797" s="109"/>
      <c r="AL797" s="109"/>
      <c r="AM797" s="109"/>
      <c r="AN797" s="109"/>
      <c r="AO797" s="109"/>
      <c r="AP797" s="109"/>
      <c r="AQ797" s="109"/>
      <c r="AR797" s="109"/>
      <c r="AS797" s="109"/>
      <c r="AT797" s="109"/>
      <c r="AU797" s="109"/>
    </row>
    <row r="798" spans="1:47" ht="14.25" customHeight="1" x14ac:dyDescent="0.3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09"/>
      <c r="AJ798" s="109"/>
      <c r="AK798" s="109"/>
      <c r="AL798" s="109"/>
      <c r="AM798" s="109"/>
      <c r="AN798" s="109"/>
      <c r="AO798" s="109"/>
      <c r="AP798" s="109"/>
      <c r="AQ798" s="109"/>
      <c r="AR798" s="109"/>
      <c r="AS798" s="109"/>
      <c r="AT798" s="109"/>
      <c r="AU798" s="109"/>
    </row>
    <row r="799" spans="1:47" ht="14.25" customHeight="1" x14ac:dyDescent="0.3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  <c r="AL799" s="109"/>
      <c r="AM799" s="109"/>
      <c r="AN799" s="109"/>
      <c r="AO799" s="109"/>
      <c r="AP799" s="109"/>
      <c r="AQ799" s="109"/>
      <c r="AR799" s="109"/>
      <c r="AS799" s="109"/>
      <c r="AT799" s="109"/>
      <c r="AU799" s="109"/>
    </row>
    <row r="800" spans="1:47" ht="14.25" customHeight="1" x14ac:dyDescent="0.3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  <c r="AL800" s="109"/>
      <c r="AM800" s="109"/>
      <c r="AN800" s="109"/>
      <c r="AO800" s="109"/>
      <c r="AP800" s="109"/>
      <c r="AQ800" s="109"/>
      <c r="AR800" s="109"/>
      <c r="AS800" s="109"/>
      <c r="AT800" s="109"/>
      <c r="AU800" s="109"/>
    </row>
    <row r="801" spans="1:47" ht="14.25" customHeight="1" x14ac:dyDescent="0.3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  <c r="AL801" s="109"/>
      <c r="AM801" s="109"/>
      <c r="AN801" s="109"/>
      <c r="AO801" s="109"/>
      <c r="AP801" s="109"/>
      <c r="AQ801" s="109"/>
      <c r="AR801" s="109"/>
      <c r="AS801" s="109"/>
      <c r="AT801" s="109"/>
      <c r="AU801" s="109"/>
    </row>
    <row r="802" spans="1:47" ht="14.25" customHeight="1" x14ac:dyDescent="0.3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  <c r="AL802" s="109"/>
      <c r="AM802" s="109"/>
      <c r="AN802" s="109"/>
      <c r="AO802" s="109"/>
      <c r="AP802" s="109"/>
      <c r="AQ802" s="109"/>
      <c r="AR802" s="109"/>
      <c r="AS802" s="109"/>
      <c r="AT802" s="109"/>
      <c r="AU802" s="109"/>
    </row>
    <row r="803" spans="1:47" ht="14.25" customHeight="1" x14ac:dyDescent="0.3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  <c r="AL803" s="109"/>
      <c r="AM803" s="109"/>
      <c r="AN803" s="109"/>
      <c r="AO803" s="109"/>
      <c r="AP803" s="109"/>
      <c r="AQ803" s="109"/>
      <c r="AR803" s="109"/>
      <c r="AS803" s="109"/>
      <c r="AT803" s="109"/>
      <c r="AU803" s="109"/>
    </row>
    <row r="804" spans="1:47" ht="14.25" customHeight="1" x14ac:dyDescent="0.3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  <c r="AL804" s="109"/>
      <c r="AM804" s="109"/>
      <c r="AN804" s="109"/>
      <c r="AO804" s="109"/>
      <c r="AP804" s="109"/>
      <c r="AQ804" s="109"/>
      <c r="AR804" s="109"/>
      <c r="AS804" s="109"/>
      <c r="AT804" s="109"/>
      <c r="AU804" s="109"/>
    </row>
    <row r="805" spans="1:47" ht="14.25" customHeight="1" x14ac:dyDescent="0.3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  <c r="AO805" s="109"/>
      <c r="AP805" s="109"/>
      <c r="AQ805" s="109"/>
      <c r="AR805" s="109"/>
      <c r="AS805" s="109"/>
      <c r="AT805" s="109"/>
      <c r="AU805" s="109"/>
    </row>
    <row r="806" spans="1:47" ht="14.25" customHeight="1" x14ac:dyDescent="0.3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  <c r="AO806" s="109"/>
      <c r="AP806" s="109"/>
      <c r="AQ806" s="109"/>
      <c r="AR806" s="109"/>
      <c r="AS806" s="109"/>
      <c r="AT806" s="109"/>
      <c r="AU806" s="109"/>
    </row>
    <row r="807" spans="1:47" ht="14.25" customHeight="1" x14ac:dyDescent="0.3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  <c r="AO807" s="109"/>
      <c r="AP807" s="109"/>
      <c r="AQ807" s="109"/>
      <c r="AR807" s="109"/>
      <c r="AS807" s="109"/>
      <c r="AT807" s="109"/>
      <c r="AU807" s="109"/>
    </row>
    <row r="808" spans="1:47" ht="14.25" customHeight="1" x14ac:dyDescent="0.3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  <c r="AL808" s="109"/>
      <c r="AM808" s="109"/>
      <c r="AN808" s="109"/>
      <c r="AO808" s="109"/>
      <c r="AP808" s="109"/>
      <c r="AQ808" s="109"/>
      <c r="AR808" s="109"/>
      <c r="AS808" s="109"/>
      <c r="AT808" s="109"/>
      <c r="AU808" s="109"/>
    </row>
    <row r="809" spans="1:47" ht="14.25" customHeight="1" x14ac:dyDescent="0.3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  <c r="AL809" s="109"/>
      <c r="AM809" s="109"/>
      <c r="AN809" s="109"/>
      <c r="AO809" s="109"/>
      <c r="AP809" s="109"/>
      <c r="AQ809" s="109"/>
      <c r="AR809" s="109"/>
      <c r="AS809" s="109"/>
      <c r="AT809" s="109"/>
      <c r="AU809" s="109"/>
    </row>
    <row r="810" spans="1:47" ht="14.25" customHeight="1" x14ac:dyDescent="0.3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  <c r="AL810" s="109"/>
      <c r="AM810" s="109"/>
      <c r="AN810" s="109"/>
      <c r="AO810" s="109"/>
      <c r="AP810" s="109"/>
      <c r="AQ810" s="109"/>
      <c r="AR810" s="109"/>
      <c r="AS810" s="109"/>
      <c r="AT810" s="109"/>
      <c r="AU810" s="109"/>
    </row>
    <row r="811" spans="1:47" ht="14.25" customHeight="1" x14ac:dyDescent="0.3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  <c r="AL811" s="109"/>
      <c r="AM811" s="109"/>
      <c r="AN811" s="109"/>
      <c r="AO811" s="109"/>
      <c r="AP811" s="109"/>
      <c r="AQ811" s="109"/>
      <c r="AR811" s="109"/>
      <c r="AS811" s="109"/>
      <c r="AT811" s="109"/>
      <c r="AU811" s="109"/>
    </row>
    <row r="812" spans="1:47" ht="14.25" customHeight="1" x14ac:dyDescent="0.3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  <c r="AL812" s="109"/>
      <c r="AM812" s="109"/>
      <c r="AN812" s="109"/>
      <c r="AO812" s="109"/>
      <c r="AP812" s="109"/>
      <c r="AQ812" s="109"/>
      <c r="AR812" s="109"/>
      <c r="AS812" s="109"/>
      <c r="AT812" s="109"/>
      <c r="AU812" s="109"/>
    </row>
    <row r="813" spans="1:47" ht="14.25" customHeight="1" x14ac:dyDescent="0.3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  <c r="AL813" s="109"/>
      <c r="AM813" s="109"/>
      <c r="AN813" s="109"/>
      <c r="AO813" s="109"/>
      <c r="AP813" s="109"/>
      <c r="AQ813" s="109"/>
      <c r="AR813" s="109"/>
      <c r="AS813" s="109"/>
      <c r="AT813" s="109"/>
      <c r="AU813" s="109"/>
    </row>
    <row r="814" spans="1:47" ht="14.25" customHeight="1" x14ac:dyDescent="0.3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  <c r="AL814" s="109"/>
      <c r="AM814" s="109"/>
      <c r="AN814" s="109"/>
      <c r="AO814" s="109"/>
      <c r="AP814" s="109"/>
      <c r="AQ814" s="109"/>
      <c r="AR814" s="109"/>
      <c r="AS814" s="109"/>
      <c r="AT814" s="109"/>
      <c r="AU814" s="109"/>
    </row>
    <row r="815" spans="1:47" ht="14.25" customHeight="1" x14ac:dyDescent="0.3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  <c r="AL815" s="109"/>
      <c r="AM815" s="109"/>
      <c r="AN815" s="109"/>
      <c r="AO815" s="109"/>
      <c r="AP815" s="109"/>
      <c r="AQ815" s="109"/>
      <c r="AR815" s="109"/>
      <c r="AS815" s="109"/>
      <c r="AT815" s="109"/>
      <c r="AU815" s="109"/>
    </row>
    <row r="816" spans="1:47" ht="14.25" customHeight="1" x14ac:dyDescent="0.3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  <c r="AL816" s="109"/>
      <c r="AM816" s="109"/>
      <c r="AN816" s="109"/>
      <c r="AO816" s="109"/>
      <c r="AP816" s="109"/>
      <c r="AQ816" s="109"/>
      <c r="AR816" s="109"/>
      <c r="AS816" s="109"/>
      <c r="AT816" s="109"/>
      <c r="AU816" s="109"/>
    </row>
    <row r="817" spans="1:47" ht="14.25" customHeight="1" x14ac:dyDescent="0.3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  <c r="AD817" s="109"/>
      <c r="AE817" s="109"/>
      <c r="AF817" s="109"/>
      <c r="AG817" s="109"/>
      <c r="AH817" s="109"/>
      <c r="AI817" s="109"/>
      <c r="AJ817" s="109"/>
      <c r="AK817" s="109"/>
      <c r="AL817" s="109"/>
      <c r="AM817" s="109"/>
      <c r="AN817" s="109"/>
      <c r="AO817" s="109"/>
      <c r="AP817" s="109"/>
      <c r="AQ817" s="109"/>
      <c r="AR817" s="109"/>
      <c r="AS817" s="109"/>
      <c r="AT817" s="109"/>
      <c r="AU817" s="109"/>
    </row>
    <row r="818" spans="1:47" ht="14.25" customHeight="1" x14ac:dyDescent="0.3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  <c r="AD818" s="109"/>
      <c r="AE818" s="109"/>
      <c r="AF818" s="109"/>
      <c r="AG818" s="109"/>
      <c r="AH818" s="109"/>
      <c r="AI818" s="109"/>
      <c r="AJ818" s="109"/>
      <c r="AK818" s="109"/>
      <c r="AL818" s="109"/>
      <c r="AM818" s="109"/>
      <c r="AN818" s="109"/>
      <c r="AO818" s="109"/>
      <c r="AP818" s="109"/>
      <c r="AQ818" s="109"/>
      <c r="AR818" s="109"/>
      <c r="AS818" s="109"/>
      <c r="AT818" s="109"/>
      <c r="AU818" s="109"/>
    </row>
    <row r="819" spans="1:47" ht="14.25" customHeight="1" x14ac:dyDescent="0.3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  <c r="AL819" s="109"/>
      <c r="AM819" s="109"/>
      <c r="AN819" s="109"/>
      <c r="AO819" s="109"/>
      <c r="AP819" s="109"/>
      <c r="AQ819" s="109"/>
      <c r="AR819" s="109"/>
      <c r="AS819" s="109"/>
      <c r="AT819" s="109"/>
      <c r="AU819" s="109"/>
    </row>
    <row r="820" spans="1:47" ht="14.25" customHeight="1" x14ac:dyDescent="0.3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  <c r="AL820" s="109"/>
      <c r="AM820" s="109"/>
      <c r="AN820" s="109"/>
      <c r="AO820" s="109"/>
      <c r="AP820" s="109"/>
      <c r="AQ820" s="109"/>
      <c r="AR820" s="109"/>
      <c r="AS820" s="109"/>
      <c r="AT820" s="109"/>
      <c r="AU820" s="109"/>
    </row>
    <row r="821" spans="1:47" ht="14.25" customHeight="1" x14ac:dyDescent="0.3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  <c r="AD821" s="109"/>
      <c r="AE821" s="109"/>
      <c r="AF821" s="109"/>
      <c r="AG821" s="109"/>
      <c r="AH821" s="109"/>
      <c r="AI821" s="109"/>
      <c r="AJ821" s="109"/>
      <c r="AK821" s="109"/>
      <c r="AL821" s="109"/>
      <c r="AM821" s="109"/>
      <c r="AN821" s="109"/>
      <c r="AO821" s="109"/>
      <c r="AP821" s="109"/>
      <c r="AQ821" s="109"/>
      <c r="AR821" s="109"/>
      <c r="AS821" s="109"/>
      <c r="AT821" s="109"/>
      <c r="AU821" s="109"/>
    </row>
    <row r="822" spans="1:47" ht="14.25" customHeight="1" x14ac:dyDescent="0.3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  <c r="AD822" s="109"/>
      <c r="AE822" s="109"/>
      <c r="AF822" s="109"/>
      <c r="AG822" s="109"/>
      <c r="AH822" s="109"/>
      <c r="AI822" s="109"/>
      <c r="AJ822" s="109"/>
      <c r="AK822" s="109"/>
      <c r="AL822" s="109"/>
      <c r="AM822" s="109"/>
      <c r="AN822" s="109"/>
      <c r="AO822" s="109"/>
      <c r="AP822" s="109"/>
      <c r="AQ822" s="109"/>
      <c r="AR822" s="109"/>
      <c r="AS822" s="109"/>
      <c r="AT822" s="109"/>
      <c r="AU822" s="109"/>
    </row>
    <row r="823" spans="1:47" ht="14.25" customHeight="1" x14ac:dyDescent="0.3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  <c r="AL823" s="109"/>
      <c r="AM823" s="109"/>
      <c r="AN823" s="109"/>
      <c r="AO823" s="109"/>
      <c r="AP823" s="109"/>
      <c r="AQ823" s="109"/>
      <c r="AR823" s="109"/>
      <c r="AS823" s="109"/>
      <c r="AT823" s="109"/>
      <c r="AU823" s="109"/>
    </row>
    <row r="824" spans="1:47" ht="14.25" customHeight="1" x14ac:dyDescent="0.3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  <c r="AL824" s="109"/>
      <c r="AM824" s="109"/>
      <c r="AN824" s="109"/>
      <c r="AO824" s="109"/>
      <c r="AP824" s="109"/>
      <c r="AQ824" s="109"/>
      <c r="AR824" s="109"/>
      <c r="AS824" s="109"/>
      <c r="AT824" s="109"/>
      <c r="AU824" s="109"/>
    </row>
    <row r="825" spans="1:47" ht="14.25" customHeight="1" x14ac:dyDescent="0.3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  <c r="AL825" s="109"/>
      <c r="AM825" s="109"/>
      <c r="AN825" s="109"/>
      <c r="AO825" s="109"/>
      <c r="AP825" s="109"/>
      <c r="AQ825" s="109"/>
      <c r="AR825" s="109"/>
      <c r="AS825" s="109"/>
      <c r="AT825" s="109"/>
      <c r="AU825" s="109"/>
    </row>
    <row r="826" spans="1:47" ht="14.25" customHeight="1" x14ac:dyDescent="0.3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  <c r="AL826" s="109"/>
      <c r="AM826" s="109"/>
      <c r="AN826" s="109"/>
      <c r="AO826" s="109"/>
      <c r="AP826" s="109"/>
      <c r="AQ826" s="109"/>
      <c r="AR826" s="109"/>
      <c r="AS826" s="109"/>
      <c r="AT826" s="109"/>
      <c r="AU826" s="109"/>
    </row>
    <row r="827" spans="1:47" ht="14.25" customHeight="1" x14ac:dyDescent="0.3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  <c r="AL827" s="109"/>
      <c r="AM827" s="109"/>
      <c r="AN827" s="109"/>
      <c r="AO827" s="109"/>
      <c r="AP827" s="109"/>
      <c r="AQ827" s="109"/>
      <c r="AR827" s="109"/>
      <c r="AS827" s="109"/>
      <c r="AT827" s="109"/>
      <c r="AU827" s="109"/>
    </row>
    <row r="828" spans="1:47" ht="14.25" customHeight="1" x14ac:dyDescent="0.3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  <c r="AL828" s="109"/>
      <c r="AM828" s="109"/>
      <c r="AN828" s="109"/>
      <c r="AO828" s="109"/>
      <c r="AP828" s="109"/>
      <c r="AQ828" s="109"/>
      <c r="AR828" s="109"/>
      <c r="AS828" s="109"/>
      <c r="AT828" s="109"/>
      <c r="AU828" s="109"/>
    </row>
    <row r="829" spans="1:47" ht="14.25" customHeight="1" x14ac:dyDescent="0.3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  <c r="AL829" s="109"/>
      <c r="AM829" s="109"/>
      <c r="AN829" s="109"/>
      <c r="AO829" s="109"/>
      <c r="AP829" s="109"/>
      <c r="AQ829" s="109"/>
      <c r="AR829" s="109"/>
      <c r="AS829" s="109"/>
      <c r="AT829" s="109"/>
      <c r="AU829" s="109"/>
    </row>
    <row r="830" spans="1:47" ht="14.25" customHeight="1" x14ac:dyDescent="0.3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  <c r="AL830" s="109"/>
      <c r="AM830" s="109"/>
      <c r="AN830" s="109"/>
      <c r="AO830" s="109"/>
      <c r="AP830" s="109"/>
      <c r="AQ830" s="109"/>
      <c r="AR830" s="109"/>
      <c r="AS830" s="109"/>
      <c r="AT830" s="109"/>
      <c r="AU830" s="109"/>
    </row>
    <row r="831" spans="1:47" ht="14.25" customHeight="1" x14ac:dyDescent="0.3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  <c r="AL831" s="109"/>
      <c r="AM831" s="109"/>
      <c r="AN831" s="109"/>
      <c r="AO831" s="109"/>
      <c r="AP831" s="109"/>
      <c r="AQ831" s="109"/>
      <c r="AR831" s="109"/>
      <c r="AS831" s="109"/>
      <c r="AT831" s="109"/>
      <c r="AU831" s="109"/>
    </row>
    <row r="832" spans="1:47" ht="14.25" customHeight="1" x14ac:dyDescent="0.3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  <c r="AL832" s="109"/>
      <c r="AM832" s="109"/>
      <c r="AN832" s="109"/>
      <c r="AO832" s="109"/>
      <c r="AP832" s="109"/>
      <c r="AQ832" s="109"/>
      <c r="AR832" s="109"/>
      <c r="AS832" s="109"/>
      <c r="AT832" s="109"/>
      <c r="AU832" s="109"/>
    </row>
    <row r="833" spans="1:47" ht="14.25" customHeight="1" x14ac:dyDescent="0.3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  <c r="AL833" s="109"/>
      <c r="AM833" s="109"/>
      <c r="AN833" s="109"/>
      <c r="AO833" s="109"/>
      <c r="AP833" s="109"/>
      <c r="AQ833" s="109"/>
      <c r="AR833" s="109"/>
      <c r="AS833" s="109"/>
      <c r="AT833" s="109"/>
      <c r="AU833" s="109"/>
    </row>
    <row r="834" spans="1:47" ht="14.25" customHeight="1" x14ac:dyDescent="0.3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  <c r="AD834" s="109"/>
      <c r="AE834" s="109"/>
      <c r="AF834" s="109"/>
      <c r="AG834" s="109"/>
      <c r="AH834" s="109"/>
      <c r="AI834" s="109"/>
      <c r="AJ834" s="109"/>
      <c r="AK834" s="109"/>
      <c r="AL834" s="109"/>
      <c r="AM834" s="109"/>
      <c r="AN834" s="109"/>
      <c r="AO834" s="109"/>
      <c r="AP834" s="109"/>
      <c r="AQ834" s="109"/>
      <c r="AR834" s="109"/>
      <c r="AS834" s="109"/>
      <c r="AT834" s="109"/>
      <c r="AU834" s="109"/>
    </row>
    <row r="835" spans="1:47" ht="14.25" customHeight="1" x14ac:dyDescent="0.3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  <c r="AL835" s="109"/>
      <c r="AM835" s="109"/>
      <c r="AN835" s="109"/>
      <c r="AO835" s="109"/>
      <c r="AP835" s="109"/>
      <c r="AQ835" s="109"/>
      <c r="AR835" s="109"/>
      <c r="AS835" s="109"/>
      <c r="AT835" s="109"/>
      <c r="AU835" s="109"/>
    </row>
    <row r="836" spans="1:47" ht="14.25" customHeight="1" x14ac:dyDescent="0.3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  <c r="AD836" s="109"/>
      <c r="AE836" s="109"/>
      <c r="AF836" s="109"/>
      <c r="AG836" s="109"/>
      <c r="AH836" s="109"/>
      <c r="AI836" s="109"/>
      <c r="AJ836" s="109"/>
      <c r="AK836" s="109"/>
      <c r="AL836" s="109"/>
      <c r="AM836" s="109"/>
      <c r="AN836" s="109"/>
      <c r="AO836" s="109"/>
      <c r="AP836" s="109"/>
      <c r="AQ836" s="109"/>
      <c r="AR836" s="109"/>
      <c r="AS836" s="109"/>
      <c r="AT836" s="109"/>
      <c r="AU836" s="109"/>
    </row>
    <row r="837" spans="1:47" ht="14.25" customHeight="1" x14ac:dyDescent="0.3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  <c r="AL837" s="109"/>
      <c r="AM837" s="109"/>
      <c r="AN837" s="109"/>
      <c r="AO837" s="109"/>
      <c r="AP837" s="109"/>
      <c r="AQ837" s="109"/>
      <c r="AR837" s="109"/>
      <c r="AS837" s="109"/>
      <c r="AT837" s="109"/>
      <c r="AU837" s="109"/>
    </row>
    <row r="838" spans="1:47" ht="14.25" customHeight="1" x14ac:dyDescent="0.3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  <c r="AD838" s="109"/>
      <c r="AE838" s="109"/>
      <c r="AF838" s="109"/>
      <c r="AG838" s="109"/>
      <c r="AH838" s="109"/>
      <c r="AI838" s="109"/>
      <c r="AJ838" s="109"/>
      <c r="AK838" s="109"/>
      <c r="AL838" s="109"/>
      <c r="AM838" s="109"/>
      <c r="AN838" s="109"/>
      <c r="AO838" s="109"/>
      <c r="AP838" s="109"/>
      <c r="AQ838" s="109"/>
      <c r="AR838" s="109"/>
      <c r="AS838" s="109"/>
      <c r="AT838" s="109"/>
      <c r="AU838" s="109"/>
    </row>
    <row r="839" spans="1:47" ht="14.25" customHeight="1" x14ac:dyDescent="0.3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  <c r="AD839" s="109"/>
      <c r="AE839" s="109"/>
      <c r="AF839" s="109"/>
      <c r="AG839" s="109"/>
      <c r="AH839" s="109"/>
      <c r="AI839" s="109"/>
      <c r="AJ839" s="109"/>
      <c r="AK839" s="109"/>
      <c r="AL839" s="109"/>
      <c r="AM839" s="109"/>
      <c r="AN839" s="109"/>
      <c r="AO839" s="109"/>
      <c r="AP839" s="109"/>
      <c r="AQ839" s="109"/>
      <c r="AR839" s="109"/>
      <c r="AS839" s="109"/>
      <c r="AT839" s="109"/>
      <c r="AU839" s="109"/>
    </row>
    <row r="840" spans="1:47" ht="14.25" customHeight="1" x14ac:dyDescent="0.3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  <c r="AD840" s="109"/>
      <c r="AE840" s="109"/>
      <c r="AF840" s="109"/>
      <c r="AG840" s="109"/>
      <c r="AH840" s="109"/>
      <c r="AI840" s="109"/>
      <c r="AJ840" s="109"/>
      <c r="AK840" s="109"/>
      <c r="AL840" s="109"/>
      <c r="AM840" s="109"/>
      <c r="AN840" s="109"/>
      <c r="AO840" s="109"/>
      <c r="AP840" s="109"/>
      <c r="AQ840" s="109"/>
      <c r="AR840" s="109"/>
      <c r="AS840" s="109"/>
      <c r="AT840" s="109"/>
      <c r="AU840" s="109"/>
    </row>
    <row r="841" spans="1:47" ht="14.25" customHeight="1" x14ac:dyDescent="0.3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  <c r="AD841" s="109"/>
      <c r="AE841" s="109"/>
      <c r="AF841" s="109"/>
      <c r="AG841" s="109"/>
      <c r="AH841" s="109"/>
      <c r="AI841" s="109"/>
      <c r="AJ841" s="109"/>
      <c r="AK841" s="109"/>
      <c r="AL841" s="109"/>
      <c r="AM841" s="109"/>
      <c r="AN841" s="109"/>
      <c r="AO841" s="109"/>
      <c r="AP841" s="109"/>
      <c r="AQ841" s="109"/>
      <c r="AR841" s="109"/>
      <c r="AS841" s="109"/>
      <c r="AT841" s="109"/>
      <c r="AU841" s="109"/>
    </row>
    <row r="842" spans="1:47" ht="14.25" customHeight="1" x14ac:dyDescent="0.3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  <c r="AL842" s="109"/>
      <c r="AM842" s="109"/>
      <c r="AN842" s="109"/>
      <c r="AO842" s="109"/>
      <c r="AP842" s="109"/>
      <c r="AQ842" s="109"/>
      <c r="AR842" s="109"/>
      <c r="AS842" s="109"/>
      <c r="AT842" s="109"/>
      <c r="AU842" s="109"/>
    </row>
    <row r="843" spans="1:47" ht="14.25" customHeight="1" x14ac:dyDescent="0.3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  <c r="AD843" s="109"/>
      <c r="AE843" s="109"/>
      <c r="AF843" s="109"/>
      <c r="AG843" s="109"/>
      <c r="AH843" s="109"/>
      <c r="AI843" s="109"/>
      <c r="AJ843" s="109"/>
      <c r="AK843" s="109"/>
      <c r="AL843" s="109"/>
      <c r="AM843" s="109"/>
      <c r="AN843" s="109"/>
      <c r="AO843" s="109"/>
      <c r="AP843" s="109"/>
      <c r="AQ843" s="109"/>
      <c r="AR843" s="109"/>
      <c r="AS843" s="109"/>
      <c r="AT843" s="109"/>
      <c r="AU843" s="109"/>
    </row>
    <row r="844" spans="1:47" ht="14.25" customHeight="1" x14ac:dyDescent="0.3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  <c r="AL844" s="109"/>
      <c r="AM844" s="109"/>
      <c r="AN844" s="109"/>
      <c r="AO844" s="109"/>
      <c r="AP844" s="109"/>
      <c r="AQ844" s="109"/>
      <c r="AR844" s="109"/>
      <c r="AS844" s="109"/>
      <c r="AT844" s="109"/>
      <c r="AU844" s="109"/>
    </row>
    <row r="845" spans="1:47" ht="14.25" customHeight="1" x14ac:dyDescent="0.3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  <c r="AL845" s="109"/>
      <c r="AM845" s="109"/>
      <c r="AN845" s="109"/>
      <c r="AO845" s="109"/>
      <c r="AP845" s="109"/>
      <c r="AQ845" s="109"/>
      <c r="AR845" s="109"/>
      <c r="AS845" s="109"/>
      <c r="AT845" s="109"/>
      <c r="AU845" s="109"/>
    </row>
    <row r="846" spans="1:47" ht="14.25" customHeight="1" x14ac:dyDescent="0.3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  <c r="AD846" s="109"/>
      <c r="AE846" s="109"/>
      <c r="AF846" s="109"/>
      <c r="AG846" s="109"/>
      <c r="AH846" s="109"/>
      <c r="AI846" s="109"/>
      <c r="AJ846" s="109"/>
      <c r="AK846" s="109"/>
      <c r="AL846" s="109"/>
      <c r="AM846" s="109"/>
      <c r="AN846" s="109"/>
      <c r="AO846" s="109"/>
      <c r="AP846" s="109"/>
      <c r="AQ846" s="109"/>
      <c r="AR846" s="109"/>
      <c r="AS846" s="109"/>
      <c r="AT846" s="109"/>
      <c r="AU846" s="109"/>
    </row>
    <row r="847" spans="1:47" ht="14.25" customHeight="1" x14ac:dyDescent="0.3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  <c r="AL847" s="109"/>
      <c r="AM847" s="109"/>
      <c r="AN847" s="109"/>
      <c r="AO847" s="109"/>
      <c r="AP847" s="109"/>
      <c r="AQ847" s="109"/>
      <c r="AR847" s="109"/>
      <c r="AS847" s="109"/>
      <c r="AT847" s="109"/>
      <c r="AU847" s="109"/>
    </row>
    <row r="848" spans="1:47" ht="14.25" customHeight="1" x14ac:dyDescent="0.3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  <c r="AL848" s="109"/>
      <c r="AM848" s="109"/>
      <c r="AN848" s="109"/>
      <c r="AO848" s="109"/>
      <c r="AP848" s="109"/>
      <c r="AQ848" s="109"/>
      <c r="AR848" s="109"/>
      <c r="AS848" s="109"/>
      <c r="AT848" s="109"/>
      <c r="AU848" s="109"/>
    </row>
    <row r="849" spans="1:47" ht="14.25" customHeight="1" x14ac:dyDescent="0.3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  <c r="AL849" s="109"/>
      <c r="AM849" s="109"/>
      <c r="AN849" s="109"/>
      <c r="AO849" s="109"/>
      <c r="AP849" s="109"/>
      <c r="AQ849" s="109"/>
      <c r="AR849" s="109"/>
      <c r="AS849" s="109"/>
      <c r="AT849" s="109"/>
      <c r="AU849" s="109"/>
    </row>
    <row r="850" spans="1:47" ht="14.25" customHeight="1" x14ac:dyDescent="0.3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  <c r="AD850" s="109"/>
      <c r="AE850" s="109"/>
      <c r="AF850" s="109"/>
      <c r="AG850" s="109"/>
      <c r="AH850" s="109"/>
      <c r="AI850" s="109"/>
      <c r="AJ850" s="109"/>
      <c r="AK850" s="109"/>
      <c r="AL850" s="109"/>
      <c r="AM850" s="109"/>
      <c r="AN850" s="109"/>
      <c r="AO850" s="109"/>
      <c r="AP850" s="109"/>
      <c r="AQ850" s="109"/>
      <c r="AR850" s="109"/>
      <c r="AS850" s="109"/>
      <c r="AT850" s="109"/>
      <c r="AU850" s="109"/>
    </row>
    <row r="851" spans="1:47" ht="14.25" customHeight="1" x14ac:dyDescent="0.3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  <c r="AL851" s="109"/>
      <c r="AM851" s="109"/>
      <c r="AN851" s="109"/>
      <c r="AO851" s="109"/>
      <c r="AP851" s="109"/>
      <c r="AQ851" s="109"/>
      <c r="AR851" s="109"/>
      <c r="AS851" s="109"/>
      <c r="AT851" s="109"/>
      <c r="AU851" s="109"/>
    </row>
    <row r="852" spans="1:47" ht="14.25" customHeight="1" x14ac:dyDescent="0.3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  <c r="AD852" s="109"/>
      <c r="AE852" s="109"/>
      <c r="AF852" s="109"/>
      <c r="AG852" s="109"/>
      <c r="AH852" s="109"/>
      <c r="AI852" s="109"/>
      <c r="AJ852" s="109"/>
      <c r="AK852" s="109"/>
      <c r="AL852" s="109"/>
      <c r="AM852" s="109"/>
      <c r="AN852" s="109"/>
      <c r="AO852" s="109"/>
      <c r="AP852" s="109"/>
      <c r="AQ852" s="109"/>
      <c r="AR852" s="109"/>
      <c r="AS852" s="109"/>
      <c r="AT852" s="109"/>
      <c r="AU852" s="109"/>
    </row>
    <row r="853" spans="1:47" ht="14.25" customHeight="1" x14ac:dyDescent="0.3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  <c r="AL853" s="109"/>
      <c r="AM853" s="109"/>
      <c r="AN853" s="109"/>
      <c r="AO853" s="109"/>
      <c r="AP853" s="109"/>
      <c r="AQ853" s="109"/>
      <c r="AR853" s="109"/>
      <c r="AS853" s="109"/>
      <c r="AT853" s="109"/>
      <c r="AU853" s="109"/>
    </row>
    <row r="854" spans="1:47" ht="14.25" customHeight="1" x14ac:dyDescent="0.3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  <c r="AD854" s="109"/>
      <c r="AE854" s="109"/>
      <c r="AF854" s="109"/>
      <c r="AG854" s="109"/>
      <c r="AH854" s="109"/>
      <c r="AI854" s="109"/>
      <c r="AJ854" s="109"/>
      <c r="AK854" s="109"/>
      <c r="AL854" s="109"/>
      <c r="AM854" s="109"/>
      <c r="AN854" s="109"/>
      <c r="AO854" s="109"/>
      <c r="AP854" s="109"/>
      <c r="AQ854" s="109"/>
      <c r="AR854" s="109"/>
      <c r="AS854" s="109"/>
      <c r="AT854" s="109"/>
      <c r="AU854" s="109"/>
    </row>
    <row r="855" spans="1:47" ht="14.25" customHeight="1" x14ac:dyDescent="0.3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  <c r="AD855" s="109"/>
      <c r="AE855" s="109"/>
      <c r="AF855" s="109"/>
      <c r="AG855" s="109"/>
      <c r="AH855" s="109"/>
      <c r="AI855" s="109"/>
      <c r="AJ855" s="109"/>
      <c r="AK855" s="109"/>
      <c r="AL855" s="109"/>
      <c r="AM855" s="109"/>
      <c r="AN855" s="109"/>
      <c r="AO855" s="109"/>
      <c r="AP855" s="109"/>
      <c r="AQ855" s="109"/>
      <c r="AR855" s="109"/>
      <c r="AS855" s="109"/>
      <c r="AT855" s="109"/>
      <c r="AU855" s="109"/>
    </row>
    <row r="856" spans="1:47" ht="14.25" customHeight="1" x14ac:dyDescent="0.3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  <c r="AD856" s="109"/>
      <c r="AE856" s="109"/>
      <c r="AF856" s="109"/>
      <c r="AG856" s="109"/>
      <c r="AH856" s="109"/>
      <c r="AI856" s="109"/>
      <c r="AJ856" s="109"/>
      <c r="AK856" s="109"/>
      <c r="AL856" s="109"/>
      <c r="AM856" s="109"/>
      <c r="AN856" s="109"/>
      <c r="AO856" s="109"/>
      <c r="AP856" s="109"/>
      <c r="AQ856" s="109"/>
      <c r="AR856" s="109"/>
      <c r="AS856" s="109"/>
      <c r="AT856" s="109"/>
      <c r="AU856" s="109"/>
    </row>
    <row r="857" spans="1:47" ht="14.25" customHeight="1" x14ac:dyDescent="0.3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  <c r="AD857" s="109"/>
      <c r="AE857" s="109"/>
      <c r="AF857" s="109"/>
      <c r="AG857" s="109"/>
      <c r="AH857" s="109"/>
      <c r="AI857" s="109"/>
      <c r="AJ857" s="109"/>
      <c r="AK857" s="109"/>
      <c r="AL857" s="109"/>
      <c r="AM857" s="109"/>
      <c r="AN857" s="109"/>
      <c r="AO857" s="109"/>
      <c r="AP857" s="109"/>
      <c r="AQ857" s="109"/>
      <c r="AR857" s="109"/>
      <c r="AS857" s="109"/>
      <c r="AT857" s="109"/>
      <c r="AU857" s="109"/>
    </row>
    <row r="858" spans="1:47" ht="14.25" customHeight="1" x14ac:dyDescent="0.3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  <c r="AD858" s="109"/>
      <c r="AE858" s="109"/>
      <c r="AF858" s="109"/>
      <c r="AG858" s="109"/>
      <c r="AH858" s="109"/>
      <c r="AI858" s="109"/>
      <c r="AJ858" s="109"/>
      <c r="AK858" s="109"/>
      <c r="AL858" s="109"/>
      <c r="AM858" s="109"/>
      <c r="AN858" s="109"/>
      <c r="AO858" s="109"/>
      <c r="AP858" s="109"/>
      <c r="AQ858" s="109"/>
      <c r="AR858" s="109"/>
      <c r="AS858" s="109"/>
      <c r="AT858" s="109"/>
      <c r="AU858" s="109"/>
    </row>
    <row r="859" spans="1:47" ht="14.25" customHeight="1" x14ac:dyDescent="0.3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  <c r="AD859" s="109"/>
      <c r="AE859" s="109"/>
      <c r="AF859" s="109"/>
      <c r="AG859" s="109"/>
      <c r="AH859" s="109"/>
      <c r="AI859" s="109"/>
      <c r="AJ859" s="109"/>
      <c r="AK859" s="109"/>
      <c r="AL859" s="109"/>
      <c r="AM859" s="109"/>
      <c r="AN859" s="109"/>
      <c r="AO859" s="109"/>
      <c r="AP859" s="109"/>
      <c r="AQ859" s="109"/>
      <c r="AR859" s="109"/>
      <c r="AS859" s="109"/>
      <c r="AT859" s="109"/>
      <c r="AU859" s="109"/>
    </row>
    <row r="860" spans="1:47" ht="14.25" customHeight="1" x14ac:dyDescent="0.3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  <c r="AL860" s="109"/>
      <c r="AM860" s="109"/>
      <c r="AN860" s="109"/>
      <c r="AO860" s="109"/>
      <c r="AP860" s="109"/>
      <c r="AQ860" s="109"/>
      <c r="AR860" s="109"/>
      <c r="AS860" s="109"/>
      <c r="AT860" s="109"/>
      <c r="AU860" s="109"/>
    </row>
    <row r="861" spans="1:47" ht="14.25" customHeight="1" x14ac:dyDescent="0.3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  <c r="AL861" s="109"/>
      <c r="AM861" s="109"/>
      <c r="AN861" s="109"/>
      <c r="AO861" s="109"/>
      <c r="AP861" s="109"/>
      <c r="AQ861" s="109"/>
      <c r="AR861" s="109"/>
      <c r="AS861" s="109"/>
      <c r="AT861" s="109"/>
      <c r="AU861" s="109"/>
    </row>
    <row r="862" spans="1:47" ht="14.25" customHeight="1" x14ac:dyDescent="0.3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109"/>
      <c r="AI862" s="109"/>
      <c r="AJ862" s="109"/>
      <c r="AK862" s="109"/>
      <c r="AL862" s="109"/>
      <c r="AM862" s="109"/>
      <c r="AN862" s="109"/>
      <c r="AO862" s="109"/>
      <c r="AP862" s="109"/>
      <c r="AQ862" s="109"/>
      <c r="AR862" s="109"/>
      <c r="AS862" s="109"/>
      <c r="AT862" s="109"/>
      <c r="AU862" s="109"/>
    </row>
    <row r="863" spans="1:47" ht="14.25" customHeight="1" x14ac:dyDescent="0.3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  <c r="AL863" s="109"/>
      <c r="AM863" s="109"/>
      <c r="AN863" s="109"/>
      <c r="AO863" s="109"/>
      <c r="AP863" s="109"/>
      <c r="AQ863" s="109"/>
      <c r="AR863" s="109"/>
      <c r="AS863" s="109"/>
      <c r="AT863" s="109"/>
      <c r="AU863" s="109"/>
    </row>
    <row r="864" spans="1:47" ht="14.25" customHeight="1" x14ac:dyDescent="0.3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  <c r="AL864" s="109"/>
      <c r="AM864" s="109"/>
      <c r="AN864" s="109"/>
      <c r="AO864" s="109"/>
      <c r="AP864" s="109"/>
      <c r="AQ864" s="109"/>
      <c r="AR864" s="109"/>
      <c r="AS864" s="109"/>
      <c r="AT864" s="109"/>
      <c r="AU864" s="109"/>
    </row>
    <row r="865" spans="1:47" ht="14.25" customHeight="1" x14ac:dyDescent="0.3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  <c r="AD865" s="109"/>
      <c r="AE865" s="109"/>
      <c r="AF865" s="109"/>
      <c r="AG865" s="109"/>
      <c r="AH865" s="109"/>
      <c r="AI865" s="109"/>
      <c r="AJ865" s="109"/>
      <c r="AK865" s="109"/>
      <c r="AL865" s="109"/>
      <c r="AM865" s="109"/>
      <c r="AN865" s="109"/>
      <c r="AO865" s="109"/>
      <c r="AP865" s="109"/>
      <c r="AQ865" s="109"/>
      <c r="AR865" s="109"/>
      <c r="AS865" s="109"/>
      <c r="AT865" s="109"/>
      <c r="AU865" s="109"/>
    </row>
    <row r="866" spans="1:47" ht="14.25" customHeight="1" x14ac:dyDescent="0.3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  <c r="AL866" s="109"/>
      <c r="AM866" s="109"/>
      <c r="AN866" s="109"/>
      <c r="AO866" s="109"/>
      <c r="AP866" s="109"/>
      <c r="AQ866" s="109"/>
      <c r="AR866" s="109"/>
      <c r="AS866" s="109"/>
      <c r="AT866" s="109"/>
      <c r="AU866" s="109"/>
    </row>
    <row r="867" spans="1:47" ht="14.25" customHeight="1" x14ac:dyDescent="0.3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  <c r="AD867" s="109"/>
      <c r="AE867" s="109"/>
      <c r="AF867" s="109"/>
      <c r="AG867" s="109"/>
      <c r="AH867" s="109"/>
      <c r="AI867" s="109"/>
      <c r="AJ867" s="109"/>
      <c r="AK867" s="109"/>
      <c r="AL867" s="109"/>
      <c r="AM867" s="109"/>
      <c r="AN867" s="109"/>
      <c r="AO867" s="109"/>
      <c r="AP867" s="109"/>
      <c r="AQ867" s="109"/>
      <c r="AR867" s="109"/>
      <c r="AS867" s="109"/>
      <c r="AT867" s="109"/>
      <c r="AU867" s="109"/>
    </row>
    <row r="868" spans="1:47" ht="14.25" customHeight="1" x14ac:dyDescent="0.3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  <c r="AL868" s="109"/>
      <c r="AM868" s="109"/>
      <c r="AN868" s="109"/>
      <c r="AO868" s="109"/>
      <c r="AP868" s="109"/>
      <c r="AQ868" s="109"/>
      <c r="AR868" s="109"/>
      <c r="AS868" s="109"/>
      <c r="AT868" s="109"/>
      <c r="AU868" s="109"/>
    </row>
    <row r="869" spans="1:47" ht="14.25" customHeight="1" x14ac:dyDescent="0.3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  <c r="AD869" s="109"/>
      <c r="AE869" s="109"/>
      <c r="AF869" s="109"/>
      <c r="AG869" s="109"/>
      <c r="AH869" s="109"/>
      <c r="AI869" s="109"/>
      <c r="AJ869" s="109"/>
      <c r="AK869" s="109"/>
      <c r="AL869" s="109"/>
      <c r="AM869" s="109"/>
      <c r="AN869" s="109"/>
      <c r="AO869" s="109"/>
      <c r="AP869" s="109"/>
      <c r="AQ869" s="109"/>
      <c r="AR869" s="109"/>
      <c r="AS869" s="109"/>
      <c r="AT869" s="109"/>
      <c r="AU869" s="109"/>
    </row>
    <row r="870" spans="1:47" ht="14.25" customHeight="1" x14ac:dyDescent="0.3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  <c r="AD870" s="109"/>
      <c r="AE870" s="109"/>
      <c r="AF870" s="109"/>
      <c r="AG870" s="109"/>
      <c r="AH870" s="109"/>
      <c r="AI870" s="109"/>
      <c r="AJ870" s="109"/>
      <c r="AK870" s="109"/>
      <c r="AL870" s="109"/>
      <c r="AM870" s="109"/>
      <c r="AN870" s="109"/>
      <c r="AO870" s="109"/>
      <c r="AP870" s="109"/>
      <c r="AQ870" s="109"/>
      <c r="AR870" s="109"/>
      <c r="AS870" s="109"/>
      <c r="AT870" s="109"/>
      <c r="AU870" s="109"/>
    </row>
    <row r="871" spans="1:47" ht="14.25" customHeight="1" x14ac:dyDescent="0.3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  <c r="AD871" s="109"/>
      <c r="AE871" s="109"/>
      <c r="AF871" s="109"/>
      <c r="AG871" s="109"/>
      <c r="AH871" s="109"/>
      <c r="AI871" s="109"/>
      <c r="AJ871" s="109"/>
      <c r="AK871" s="109"/>
      <c r="AL871" s="109"/>
      <c r="AM871" s="109"/>
      <c r="AN871" s="109"/>
      <c r="AO871" s="109"/>
      <c r="AP871" s="109"/>
      <c r="AQ871" s="109"/>
      <c r="AR871" s="109"/>
      <c r="AS871" s="109"/>
      <c r="AT871" s="109"/>
      <c r="AU871" s="109"/>
    </row>
    <row r="872" spans="1:47" ht="14.25" customHeight="1" x14ac:dyDescent="0.3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  <c r="AL872" s="109"/>
      <c r="AM872" s="109"/>
      <c r="AN872" s="109"/>
      <c r="AO872" s="109"/>
      <c r="AP872" s="109"/>
      <c r="AQ872" s="109"/>
      <c r="AR872" s="109"/>
      <c r="AS872" s="109"/>
      <c r="AT872" s="109"/>
      <c r="AU872" s="109"/>
    </row>
    <row r="873" spans="1:47" ht="14.25" customHeight="1" x14ac:dyDescent="0.3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  <c r="AL873" s="109"/>
      <c r="AM873" s="109"/>
      <c r="AN873" s="109"/>
      <c r="AO873" s="109"/>
      <c r="AP873" s="109"/>
      <c r="AQ873" s="109"/>
      <c r="AR873" s="109"/>
      <c r="AS873" s="109"/>
      <c r="AT873" s="109"/>
      <c r="AU873" s="109"/>
    </row>
    <row r="874" spans="1:47" ht="14.25" customHeight="1" x14ac:dyDescent="0.3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  <c r="AD874" s="109"/>
      <c r="AE874" s="109"/>
      <c r="AF874" s="109"/>
      <c r="AG874" s="109"/>
      <c r="AH874" s="109"/>
      <c r="AI874" s="109"/>
      <c r="AJ874" s="109"/>
      <c r="AK874" s="109"/>
      <c r="AL874" s="109"/>
      <c r="AM874" s="109"/>
      <c r="AN874" s="109"/>
      <c r="AO874" s="109"/>
      <c r="AP874" s="109"/>
      <c r="AQ874" s="109"/>
      <c r="AR874" s="109"/>
      <c r="AS874" s="109"/>
      <c r="AT874" s="109"/>
      <c r="AU874" s="109"/>
    </row>
    <row r="875" spans="1:47" ht="14.25" customHeight="1" x14ac:dyDescent="0.3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  <c r="AD875" s="109"/>
      <c r="AE875" s="109"/>
      <c r="AF875" s="109"/>
      <c r="AG875" s="109"/>
      <c r="AH875" s="109"/>
      <c r="AI875" s="109"/>
      <c r="AJ875" s="109"/>
      <c r="AK875" s="109"/>
      <c r="AL875" s="109"/>
      <c r="AM875" s="109"/>
      <c r="AN875" s="109"/>
      <c r="AO875" s="109"/>
      <c r="AP875" s="109"/>
      <c r="AQ875" s="109"/>
      <c r="AR875" s="109"/>
      <c r="AS875" s="109"/>
      <c r="AT875" s="109"/>
      <c r="AU875" s="109"/>
    </row>
    <row r="876" spans="1:47" ht="14.25" customHeight="1" x14ac:dyDescent="0.3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  <c r="AD876" s="109"/>
      <c r="AE876" s="109"/>
      <c r="AF876" s="109"/>
      <c r="AG876" s="109"/>
      <c r="AH876" s="109"/>
      <c r="AI876" s="109"/>
      <c r="AJ876" s="109"/>
      <c r="AK876" s="109"/>
      <c r="AL876" s="109"/>
      <c r="AM876" s="109"/>
      <c r="AN876" s="109"/>
      <c r="AO876" s="109"/>
      <c r="AP876" s="109"/>
      <c r="AQ876" s="109"/>
      <c r="AR876" s="109"/>
      <c r="AS876" s="109"/>
      <c r="AT876" s="109"/>
      <c r="AU876" s="109"/>
    </row>
    <row r="877" spans="1:47" ht="14.25" customHeight="1" x14ac:dyDescent="0.3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  <c r="AD877" s="109"/>
      <c r="AE877" s="109"/>
      <c r="AF877" s="109"/>
      <c r="AG877" s="109"/>
      <c r="AH877" s="109"/>
      <c r="AI877" s="109"/>
      <c r="AJ877" s="109"/>
      <c r="AK877" s="109"/>
      <c r="AL877" s="109"/>
      <c r="AM877" s="109"/>
      <c r="AN877" s="109"/>
      <c r="AO877" s="109"/>
      <c r="AP877" s="109"/>
      <c r="AQ877" s="109"/>
      <c r="AR877" s="109"/>
      <c r="AS877" s="109"/>
      <c r="AT877" s="109"/>
      <c r="AU877" s="109"/>
    </row>
    <row r="878" spans="1:47" ht="14.25" customHeight="1" x14ac:dyDescent="0.3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  <c r="AD878" s="109"/>
      <c r="AE878" s="109"/>
      <c r="AF878" s="109"/>
      <c r="AG878" s="109"/>
      <c r="AH878" s="109"/>
      <c r="AI878" s="109"/>
      <c r="AJ878" s="109"/>
      <c r="AK878" s="109"/>
      <c r="AL878" s="109"/>
      <c r="AM878" s="109"/>
      <c r="AN878" s="109"/>
      <c r="AO878" s="109"/>
      <c r="AP878" s="109"/>
      <c r="AQ878" s="109"/>
      <c r="AR878" s="109"/>
      <c r="AS878" s="109"/>
      <c r="AT878" s="109"/>
      <c r="AU878" s="109"/>
    </row>
    <row r="879" spans="1:47" ht="14.25" customHeight="1" x14ac:dyDescent="0.3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  <c r="AD879" s="109"/>
      <c r="AE879" s="109"/>
      <c r="AF879" s="109"/>
      <c r="AG879" s="109"/>
      <c r="AH879" s="109"/>
      <c r="AI879" s="109"/>
      <c r="AJ879" s="109"/>
      <c r="AK879" s="109"/>
      <c r="AL879" s="109"/>
      <c r="AM879" s="109"/>
      <c r="AN879" s="109"/>
      <c r="AO879" s="109"/>
      <c r="AP879" s="109"/>
      <c r="AQ879" s="109"/>
      <c r="AR879" s="109"/>
      <c r="AS879" s="109"/>
      <c r="AT879" s="109"/>
      <c r="AU879" s="109"/>
    </row>
    <row r="880" spans="1:47" ht="14.25" customHeight="1" x14ac:dyDescent="0.3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  <c r="AD880" s="109"/>
      <c r="AE880" s="109"/>
      <c r="AF880" s="109"/>
      <c r="AG880" s="109"/>
      <c r="AH880" s="109"/>
      <c r="AI880" s="109"/>
      <c r="AJ880" s="109"/>
      <c r="AK880" s="109"/>
      <c r="AL880" s="109"/>
      <c r="AM880" s="109"/>
      <c r="AN880" s="109"/>
      <c r="AO880" s="109"/>
      <c r="AP880" s="109"/>
      <c r="AQ880" s="109"/>
      <c r="AR880" s="109"/>
      <c r="AS880" s="109"/>
      <c r="AT880" s="109"/>
      <c r="AU880" s="109"/>
    </row>
    <row r="881" spans="1:47" ht="14.25" customHeight="1" x14ac:dyDescent="0.3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  <c r="AD881" s="109"/>
      <c r="AE881" s="109"/>
      <c r="AF881" s="109"/>
      <c r="AG881" s="109"/>
      <c r="AH881" s="109"/>
      <c r="AI881" s="109"/>
      <c r="AJ881" s="109"/>
      <c r="AK881" s="109"/>
      <c r="AL881" s="109"/>
      <c r="AM881" s="109"/>
      <c r="AN881" s="109"/>
      <c r="AO881" s="109"/>
      <c r="AP881" s="109"/>
      <c r="AQ881" s="109"/>
      <c r="AR881" s="109"/>
      <c r="AS881" s="109"/>
      <c r="AT881" s="109"/>
      <c r="AU881" s="109"/>
    </row>
    <row r="882" spans="1:47" ht="14.25" customHeight="1" x14ac:dyDescent="0.3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  <c r="AD882" s="109"/>
      <c r="AE882" s="109"/>
      <c r="AF882" s="109"/>
      <c r="AG882" s="109"/>
      <c r="AH882" s="109"/>
      <c r="AI882" s="109"/>
      <c r="AJ882" s="109"/>
      <c r="AK882" s="109"/>
      <c r="AL882" s="109"/>
      <c r="AM882" s="109"/>
      <c r="AN882" s="109"/>
      <c r="AO882" s="109"/>
      <c r="AP882" s="109"/>
      <c r="AQ882" s="109"/>
      <c r="AR882" s="109"/>
      <c r="AS882" s="109"/>
      <c r="AT882" s="109"/>
      <c r="AU882" s="109"/>
    </row>
    <row r="883" spans="1:47" ht="14.25" customHeight="1" x14ac:dyDescent="0.3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  <c r="AL883" s="109"/>
      <c r="AM883" s="109"/>
      <c r="AN883" s="109"/>
      <c r="AO883" s="109"/>
      <c r="AP883" s="109"/>
      <c r="AQ883" s="109"/>
      <c r="AR883" s="109"/>
      <c r="AS883" s="109"/>
      <c r="AT883" s="109"/>
      <c r="AU883" s="109"/>
    </row>
    <row r="884" spans="1:47" ht="14.25" customHeight="1" x14ac:dyDescent="0.3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  <c r="AL884" s="109"/>
      <c r="AM884" s="109"/>
      <c r="AN884" s="109"/>
      <c r="AO884" s="109"/>
      <c r="AP884" s="109"/>
      <c r="AQ884" s="109"/>
      <c r="AR884" s="109"/>
      <c r="AS884" s="109"/>
      <c r="AT884" s="109"/>
      <c r="AU884" s="109"/>
    </row>
    <row r="885" spans="1:47" ht="14.25" customHeight="1" x14ac:dyDescent="0.3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  <c r="AL885" s="109"/>
      <c r="AM885" s="109"/>
      <c r="AN885" s="109"/>
      <c r="AO885" s="109"/>
      <c r="AP885" s="109"/>
      <c r="AQ885" s="109"/>
      <c r="AR885" s="109"/>
      <c r="AS885" s="109"/>
      <c r="AT885" s="109"/>
      <c r="AU885" s="109"/>
    </row>
    <row r="886" spans="1:47" ht="14.25" customHeight="1" x14ac:dyDescent="0.3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  <c r="AL886" s="109"/>
      <c r="AM886" s="109"/>
      <c r="AN886" s="109"/>
      <c r="AO886" s="109"/>
      <c r="AP886" s="109"/>
      <c r="AQ886" s="109"/>
      <c r="AR886" s="109"/>
      <c r="AS886" s="109"/>
      <c r="AT886" s="109"/>
      <c r="AU886" s="109"/>
    </row>
    <row r="887" spans="1:47" ht="14.25" customHeight="1" x14ac:dyDescent="0.3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  <c r="AL887" s="109"/>
      <c r="AM887" s="109"/>
      <c r="AN887" s="109"/>
      <c r="AO887" s="109"/>
      <c r="AP887" s="109"/>
      <c r="AQ887" s="109"/>
      <c r="AR887" s="109"/>
      <c r="AS887" s="109"/>
      <c r="AT887" s="109"/>
      <c r="AU887" s="109"/>
    </row>
    <row r="888" spans="1:47" ht="14.25" customHeight="1" x14ac:dyDescent="0.3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  <c r="AL888" s="109"/>
      <c r="AM888" s="109"/>
      <c r="AN888" s="109"/>
      <c r="AO888" s="109"/>
      <c r="AP888" s="109"/>
      <c r="AQ888" s="109"/>
      <c r="AR888" s="109"/>
      <c r="AS888" s="109"/>
      <c r="AT888" s="109"/>
      <c r="AU888" s="109"/>
    </row>
    <row r="889" spans="1:47" ht="14.25" customHeight="1" x14ac:dyDescent="0.3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  <c r="AL889" s="109"/>
      <c r="AM889" s="109"/>
      <c r="AN889" s="109"/>
      <c r="AO889" s="109"/>
      <c r="AP889" s="109"/>
      <c r="AQ889" s="109"/>
      <c r="AR889" s="109"/>
      <c r="AS889" s="109"/>
      <c r="AT889" s="109"/>
      <c r="AU889" s="109"/>
    </row>
    <row r="890" spans="1:47" ht="14.25" customHeight="1" x14ac:dyDescent="0.3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  <c r="AD890" s="109"/>
      <c r="AE890" s="109"/>
      <c r="AF890" s="109"/>
      <c r="AG890" s="109"/>
      <c r="AH890" s="109"/>
      <c r="AI890" s="109"/>
      <c r="AJ890" s="109"/>
      <c r="AK890" s="109"/>
      <c r="AL890" s="109"/>
      <c r="AM890" s="109"/>
      <c r="AN890" s="109"/>
      <c r="AO890" s="109"/>
      <c r="AP890" s="109"/>
      <c r="AQ890" s="109"/>
      <c r="AR890" s="109"/>
      <c r="AS890" s="109"/>
      <c r="AT890" s="109"/>
      <c r="AU890" s="109"/>
    </row>
    <row r="891" spans="1:47" ht="14.25" customHeight="1" x14ac:dyDescent="0.3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  <c r="AD891" s="109"/>
      <c r="AE891" s="109"/>
      <c r="AF891" s="109"/>
      <c r="AG891" s="109"/>
      <c r="AH891" s="109"/>
      <c r="AI891" s="109"/>
      <c r="AJ891" s="109"/>
      <c r="AK891" s="109"/>
      <c r="AL891" s="109"/>
      <c r="AM891" s="109"/>
      <c r="AN891" s="109"/>
      <c r="AO891" s="109"/>
      <c r="AP891" s="109"/>
      <c r="AQ891" s="109"/>
      <c r="AR891" s="109"/>
      <c r="AS891" s="109"/>
      <c r="AT891" s="109"/>
      <c r="AU891" s="109"/>
    </row>
    <row r="892" spans="1:47" ht="14.25" customHeight="1" x14ac:dyDescent="0.3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  <c r="AD892" s="109"/>
      <c r="AE892" s="109"/>
      <c r="AF892" s="109"/>
      <c r="AG892" s="109"/>
      <c r="AH892" s="109"/>
      <c r="AI892" s="109"/>
      <c r="AJ892" s="109"/>
      <c r="AK892" s="109"/>
      <c r="AL892" s="109"/>
      <c r="AM892" s="109"/>
      <c r="AN892" s="109"/>
      <c r="AO892" s="109"/>
      <c r="AP892" s="109"/>
      <c r="AQ892" s="109"/>
      <c r="AR892" s="109"/>
      <c r="AS892" s="109"/>
      <c r="AT892" s="109"/>
      <c r="AU892" s="109"/>
    </row>
    <row r="893" spans="1:47" ht="14.25" customHeight="1" x14ac:dyDescent="0.3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  <c r="AD893" s="109"/>
      <c r="AE893" s="109"/>
      <c r="AF893" s="109"/>
      <c r="AG893" s="109"/>
      <c r="AH893" s="109"/>
      <c r="AI893" s="109"/>
      <c r="AJ893" s="109"/>
      <c r="AK893" s="109"/>
      <c r="AL893" s="109"/>
      <c r="AM893" s="109"/>
      <c r="AN893" s="109"/>
      <c r="AO893" s="109"/>
      <c r="AP893" s="109"/>
      <c r="AQ893" s="109"/>
      <c r="AR893" s="109"/>
      <c r="AS893" s="109"/>
      <c r="AT893" s="109"/>
      <c r="AU893" s="109"/>
    </row>
    <row r="894" spans="1:47" ht="14.25" customHeight="1" x14ac:dyDescent="0.3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  <c r="AD894" s="109"/>
      <c r="AE894" s="109"/>
      <c r="AF894" s="109"/>
      <c r="AG894" s="109"/>
      <c r="AH894" s="109"/>
      <c r="AI894" s="109"/>
      <c r="AJ894" s="109"/>
      <c r="AK894" s="109"/>
      <c r="AL894" s="109"/>
      <c r="AM894" s="109"/>
      <c r="AN894" s="109"/>
      <c r="AO894" s="109"/>
      <c r="AP894" s="109"/>
      <c r="AQ894" s="109"/>
      <c r="AR894" s="109"/>
      <c r="AS894" s="109"/>
      <c r="AT894" s="109"/>
      <c r="AU894" s="109"/>
    </row>
    <row r="895" spans="1:47" ht="14.25" customHeight="1" x14ac:dyDescent="0.3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/>
      <c r="AL895" s="109"/>
      <c r="AM895" s="109"/>
      <c r="AN895" s="109"/>
      <c r="AO895" s="109"/>
      <c r="AP895" s="109"/>
      <c r="AQ895" s="109"/>
      <c r="AR895" s="109"/>
      <c r="AS895" s="109"/>
      <c r="AT895" s="109"/>
      <c r="AU895" s="109"/>
    </row>
    <row r="896" spans="1:47" ht="14.25" customHeight="1" x14ac:dyDescent="0.3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  <c r="AL896" s="109"/>
      <c r="AM896" s="109"/>
      <c r="AN896" s="109"/>
      <c r="AO896" s="109"/>
      <c r="AP896" s="109"/>
      <c r="AQ896" s="109"/>
      <c r="AR896" s="109"/>
      <c r="AS896" s="109"/>
      <c r="AT896" s="109"/>
      <c r="AU896" s="109"/>
    </row>
    <row r="897" spans="1:47" ht="14.25" customHeight="1" x14ac:dyDescent="0.3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/>
      <c r="AL897" s="109"/>
      <c r="AM897" s="109"/>
      <c r="AN897" s="109"/>
      <c r="AO897" s="109"/>
      <c r="AP897" s="109"/>
      <c r="AQ897" s="109"/>
      <c r="AR897" s="109"/>
      <c r="AS897" s="109"/>
      <c r="AT897" s="109"/>
      <c r="AU897" s="109"/>
    </row>
    <row r="898" spans="1:47" ht="14.25" customHeight="1" x14ac:dyDescent="0.3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/>
      <c r="AL898" s="109"/>
      <c r="AM898" s="109"/>
      <c r="AN898" s="109"/>
      <c r="AO898" s="109"/>
      <c r="AP898" s="109"/>
      <c r="AQ898" s="109"/>
      <c r="AR898" s="109"/>
      <c r="AS898" s="109"/>
      <c r="AT898" s="109"/>
      <c r="AU898" s="109"/>
    </row>
    <row r="899" spans="1:47" ht="14.25" customHeight="1" x14ac:dyDescent="0.3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/>
      <c r="AL899" s="109"/>
      <c r="AM899" s="109"/>
      <c r="AN899" s="109"/>
      <c r="AO899" s="109"/>
      <c r="AP899" s="109"/>
      <c r="AQ899" s="109"/>
      <c r="AR899" s="109"/>
      <c r="AS899" s="109"/>
      <c r="AT899" s="109"/>
      <c r="AU899" s="109"/>
    </row>
    <row r="900" spans="1:47" ht="14.25" customHeight="1" x14ac:dyDescent="0.3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/>
      <c r="AL900" s="109"/>
      <c r="AM900" s="109"/>
      <c r="AN900" s="109"/>
      <c r="AO900" s="109"/>
      <c r="AP900" s="109"/>
      <c r="AQ900" s="109"/>
      <c r="AR900" s="109"/>
      <c r="AS900" s="109"/>
      <c r="AT900" s="109"/>
      <c r="AU900" s="109"/>
    </row>
    <row r="901" spans="1:47" ht="14.25" customHeight="1" x14ac:dyDescent="0.3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/>
      <c r="AL901" s="109"/>
      <c r="AM901" s="109"/>
      <c r="AN901" s="109"/>
      <c r="AO901" s="109"/>
      <c r="AP901" s="109"/>
      <c r="AQ901" s="109"/>
      <c r="AR901" s="109"/>
      <c r="AS901" s="109"/>
      <c r="AT901" s="109"/>
      <c r="AU901" s="109"/>
    </row>
    <row r="902" spans="1:47" ht="14.25" customHeight="1" x14ac:dyDescent="0.3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09"/>
      <c r="AL902" s="109"/>
      <c r="AM902" s="109"/>
      <c r="AN902" s="109"/>
      <c r="AO902" s="109"/>
      <c r="AP902" s="109"/>
      <c r="AQ902" s="109"/>
      <c r="AR902" s="109"/>
      <c r="AS902" s="109"/>
      <c r="AT902" s="109"/>
      <c r="AU902" s="109"/>
    </row>
    <row r="903" spans="1:47" ht="14.25" customHeight="1" x14ac:dyDescent="0.3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/>
      <c r="AL903" s="109"/>
      <c r="AM903" s="109"/>
      <c r="AN903" s="109"/>
      <c r="AO903" s="109"/>
      <c r="AP903" s="109"/>
      <c r="AQ903" s="109"/>
      <c r="AR903" s="109"/>
      <c r="AS903" s="109"/>
      <c r="AT903" s="109"/>
      <c r="AU903" s="109"/>
    </row>
    <row r="904" spans="1:47" ht="14.25" customHeight="1" x14ac:dyDescent="0.3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109"/>
      <c r="AI904" s="109"/>
      <c r="AJ904" s="109"/>
      <c r="AK904" s="109"/>
      <c r="AL904" s="109"/>
      <c r="AM904" s="109"/>
      <c r="AN904" s="109"/>
      <c r="AO904" s="109"/>
      <c r="AP904" s="109"/>
      <c r="AQ904" s="109"/>
      <c r="AR904" s="109"/>
      <c r="AS904" s="109"/>
      <c r="AT904" s="109"/>
      <c r="AU904" s="109"/>
    </row>
    <row r="905" spans="1:47" ht="14.25" customHeight="1" x14ac:dyDescent="0.3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  <c r="AD905" s="109"/>
      <c r="AE905" s="109"/>
      <c r="AF905" s="109"/>
      <c r="AG905" s="109"/>
      <c r="AH905" s="109"/>
      <c r="AI905" s="109"/>
      <c r="AJ905" s="109"/>
      <c r="AK905" s="109"/>
      <c r="AL905" s="109"/>
      <c r="AM905" s="109"/>
      <c r="AN905" s="109"/>
      <c r="AO905" s="109"/>
      <c r="AP905" s="109"/>
      <c r="AQ905" s="109"/>
      <c r="AR905" s="109"/>
      <c r="AS905" s="109"/>
      <c r="AT905" s="109"/>
      <c r="AU905" s="109"/>
    </row>
    <row r="906" spans="1:47" ht="14.25" customHeight="1" x14ac:dyDescent="0.3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  <c r="AD906" s="109"/>
      <c r="AE906" s="109"/>
      <c r="AF906" s="109"/>
      <c r="AG906" s="109"/>
      <c r="AH906" s="109"/>
      <c r="AI906" s="109"/>
      <c r="AJ906" s="109"/>
      <c r="AK906" s="109"/>
      <c r="AL906" s="109"/>
      <c r="AM906" s="109"/>
      <c r="AN906" s="109"/>
      <c r="AO906" s="109"/>
      <c r="AP906" s="109"/>
      <c r="AQ906" s="109"/>
      <c r="AR906" s="109"/>
      <c r="AS906" s="109"/>
      <c r="AT906" s="109"/>
      <c r="AU906" s="109"/>
    </row>
    <row r="907" spans="1:47" ht="14.25" customHeight="1" x14ac:dyDescent="0.3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  <c r="AD907" s="109"/>
      <c r="AE907" s="109"/>
      <c r="AF907" s="109"/>
      <c r="AG907" s="109"/>
      <c r="AH907" s="109"/>
      <c r="AI907" s="109"/>
      <c r="AJ907" s="109"/>
      <c r="AK907" s="109"/>
      <c r="AL907" s="109"/>
      <c r="AM907" s="109"/>
      <c r="AN907" s="109"/>
      <c r="AO907" s="109"/>
      <c r="AP907" s="109"/>
      <c r="AQ907" s="109"/>
      <c r="AR907" s="109"/>
      <c r="AS907" s="109"/>
      <c r="AT907" s="109"/>
      <c r="AU907" s="109"/>
    </row>
    <row r="908" spans="1:47" ht="14.25" customHeight="1" x14ac:dyDescent="0.3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  <c r="AD908" s="109"/>
      <c r="AE908" s="109"/>
      <c r="AF908" s="109"/>
      <c r="AG908" s="109"/>
      <c r="AH908" s="109"/>
      <c r="AI908" s="109"/>
      <c r="AJ908" s="109"/>
      <c r="AK908" s="109"/>
      <c r="AL908" s="109"/>
      <c r="AM908" s="109"/>
      <c r="AN908" s="109"/>
      <c r="AO908" s="109"/>
      <c r="AP908" s="109"/>
      <c r="AQ908" s="109"/>
      <c r="AR908" s="109"/>
      <c r="AS908" s="109"/>
      <c r="AT908" s="109"/>
      <c r="AU908" s="109"/>
    </row>
    <row r="909" spans="1:47" ht="14.25" customHeight="1" x14ac:dyDescent="0.3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  <c r="AD909" s="109"/>
      <c r="AE909" s="109"/>
      <c r="AF909" s="109"/>
      <c r="AG909" s="109"/>
      <c r="AH909" s="109"/>
      <c r="AI909" s="109"/>
      <c r="AJ909" s="109"/>
      <c r="AK909" s="109"/>
      <c r="AL909" s="109"/>
      <c r="AM909" s="109"/>
      <c r="AN909" s="109"/>
      <c r="AO909" s="109"/>
      <c r="AP909" s="109"/>
      <c r="AQ909" s="109"/>
      <c r="AR909" s="109"/>
      <c r="AS909" s="109"/>
      <c r="AT909" s="109"/>
      <c r="AU909" s="109"/>
    </row>
    <row r="910" spans="1:47" ht="14.25" customHeight="1" x14ac:dyDescent="0.3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  <c r="AD910" s="109"/>
      <c r="AE910" s="109"/>
      <c r="AF910" s="109"/>
      <c r="AG910" s="109"/>
      <c r="AH910" s="109"/>
      <c r="AI910" s="109"/>
      <c r="AJ910" s="109"/>
      <c r="AK910" s="109"/>
      <c r="AL910" s="109"/>
      <c r="AM910" s="109"/>
      <c r="AN910" s="109"/>
      <c r="AO910" s="109"/>
      <c r="AP910" s="109"/>
      <c r="AQ910" s="109"/>
      <c r="AR910" s="109"/>
      <c r="AS910" s="109"/>
      <c r="AT910" s="109"/>
      <c r="AU910" s="109"/>
    </row>
    <row r="911" spans="1:47" ht="14.25" customHeight="1" x14ac:dyDescent="0.3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  <c r="AD911" s="109"/>
      <c r="AE911" s="109"/>
      <c r="AF911" s="109"/>
      <c r="AG911" s="109"/>
      <c r="AH911" s="109"/>
      <c r="AI911" s="109"/>
      <c r="AJ911" s="109"/>
      <c r="AK911" s="109"/>
      <c r="AL911" s="109"/>
      <c r="AM911" s="109"/>
      <c r="AN911" s="109"/>
      <c r="AO911" s="109"/>
      <c r="AP911" s="109"/>
      <c r="AQ911" s="109"/>
      <c r="AR911" s="109"/>
      <c r="AS911" s="109"/>
      <c r="AT911" s="109"/>
      <c r="AU911" s="109"/>
    </row>
    <row r="912" spans="1:47" ht="14.25" customHeight="1" x14ac:dyDescent="0.3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09"/>
      <c r="AG912" s="109"/>
      <c r="AH912" s="109"/>
      <c r="AI912" s="109"/>
      <c r="AJ912" s="109"/>
      <c r="AK912" s="109"/>
      <c r="AL912" s="109"/>
      <c r="AM912" s="109"/>
      <c r="AN912" s="109"/>
      <c r="AO912" s="109"/>
      <c r="AP912" s="109"/>
      <c r="AQ912" s="109"/>
      <c r="AR912" s="109"/>
      <c r="AS912" s="109"/>
      <c r="AT912" s="109"/>
      <c r="AU912" s="109"/>
    </row>
    <row r="913" spans="1:47" ht="14.25" customHeight="1" x14ac:dyDescent="0.3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09"/>
      <c r="AG913" s="109"/>
      <c r="AH913" s="109"/>
      <c r="AI913" s="109"/>
      <c r="AJ913" s="109"/>
      <c r="AK913" s="109"/>
      <c r="AL913" s="109"/>
      <c r="AM913" s="109"/>
      <c r="AN913" s="109"/>
      <c r="AO913" s="109"/>
      <c r="AP913" s="109"/>
      <c r="AQ913" s="109"/>
      <c r="AR913" s="109"/>
      <c r="AS913" s="109"/>
      <c r="AT913" s="109"/>
      <c r="AU913" s="109"/>
    </row>
    <row r="914" spans="1:47" ht="14.25" customHeight="1" x14ac:dyDescent="0.3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  <c r="AL914" s="109"/>
      <c r="AM914" s="109"/>
      <c r="AN914" s="109"/>
      <c r="AO914" s="109"/>
      <c r="AP914" s="109"/>
      <c r="AQ914" s="109"/>
      <c r="AR914" s="109"/>
      <c r="AS914" s="109"/>
      <c r="AT914" s="109"/>
      <c r="AU914" s="109"/>
    </row>
    <row r="915" spans="1:47" ht="14.25" customHeight="1" x14ac:dyDescent="0.3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09"/>
      <c r="AG915" s="109"/>
      <c r="AH915" s="109"/>
      <c r="AI915" s="109"/>
      <c r="AJ915" s="109"/>
      <c r="AK915" s="109"/>
      <c r="AL915" s="109"/>
      <c r="AM915" s="109"/>
      <c r="AN915" s="109"/>
      <c r="AO915" s="109"/>
      <c r="AP915" s="109"/>
      <c r="AQ915" s="109"/>
      <c r="AR915" s="109"/>
      <c r="AS915" s="109"/>
      <c r="AT915" s="109"/>
      <c r="AU915" s="109"/>
    </row>
    <row r="916" spans="1:47" ht="14.25" customHeight="1" x14ac:dyDescent="0.3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09"/>
      <c r="AG916" s="109"/>
      <c r="AH916" s="109"/>
      <c r="AI916" s="109"/>
      <c r="AJ916" s="109"/>
      <c r="AK916" s="109"/>
      <c r="AL916" s="109"/>
      <c r="AM916" s="109"/>
      <c r="AN916" s="109"/>
      <c r="AO916" s="109"/>
      <c r="AP916" s="109"/>
      <c r="AQ916" s="109"/>
      <c r="AR916" s="109"/>
      <c r="AS916" s="109"/>
      <c r="AT916" s="109"/>
      <c r="AU916" s="109"/>
    </row>
    <row r="917" spans="1:47" ht="14.25" customHeight="1" x14ac:dyDescent="0.3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09"/>
      <c r="AG917" s="109"/>
      <c r="AH917" s="109"/>
      <c r="AI917" s="109"/>
      <c r="AJ917" s="109"/>
      <c r="AK917" s="109"/>
      <c r="AL917" s="109"/>
      <c r="AM917" s="109"/>
      <c r="AN917" s="109"/>
      <c r="AO917" s="109"/>
      <c r="AP917" s="109"/>
      <c r="AQ917" s="109"/>
      <c r="AR917" s="109"/>
      <c r="AS917" s="109"/>
      <c r="AT917" s="109"/>
      <c r="AU917" s="109"/>
    </row>
    <row r="918" spans="1:47" ht="14.25" customHeight="1" x14ac:dyDescent="0.3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  <c r="AD918" s="109"/>
      <c r="AE918" s="109"/>
      <c r="AF918" s="109"/>
      <c r="AG918" s="109"/>
      <c r="AH918" s="109"/>
      <c r="AI918" s="109"/>
      <c r="AJ918" s="109"/>
      <c r="AK918" s="109"/>
      <c r="AL918" s="109"/>
      <c r="AM918" s="109"/>
      <c r="AN918" s="109"/>
      <c r="AO918" s="109"/>
      <c r="AP918" s="109"/>
      <c r="AQ918" s="109"/>
      <c r="AR918" s="109"/>
      <c r="AS918" s="109"/>
      <c r="AT918" s="109"/>
      <c r="AU918" s="109"/>
    </row>
    <row r="919" spans="1:47" ht="14.25" customHeight="1" x14ac:dyDescent="0.3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09"/>
      <c r="AG919" s="109"/>
      <c r="AH919" s="109"/>
      <c r="AI919" s="109"/>
      <c r="AJ919" s="109"/>
      <c r="AK919" s="109"/>
      <c r="AL919" s="109"/>
      <c r="AM919" s="109"/>
      <c r="AN919" s="109"/>
      <c r="AO919" s="109"/>
      <c r="AP919" s="109"/>
      <c r="AQ919" s="109"/>
      <c r="AR919" s="109"/>
      <c r="AS919" s="109"/>
      <c r="AT919" s="109"/>
      <c r="AU919" s="109"/>
    </row>
    <row r="920" spans="1:47" ht="14.25" customHeight="1" x14ac:dyDescent="0.3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09"/>
      <c r="AG920" s="109"/>
      <c r="AH920" s="109"/>
      <c r="AI920" s="109"/>
      <c r="AJ920" s="109"/>
      <c r="AK920" s="109"/>
      <c r="AL920" s="109"/>
      <c r="AM920" s="109"/>
      <c r="AN920" s="109"/>
      <c r="AO920" s="109"/>
      <c r="AP920" s="109"/>
      <c r="AQ920" s="109"/>
      <c r="AR920" s="109"/>
      <c r="AS920" s="109"/>
      <c r="AT920" s="109"/>
      <c r="AU920" s="109"/>
    </row>
    <row r="921" spans="1:47" ht="14.25" customHeight="1" x14ac:dyDescent="0.3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/>
      <c r="AL921" s="109"/>
      <c r="AM921" s="109"/>
      <c r="AN921" s="109"/>
      <c r="AO921" s="109"/>
      <c r="AP921" s="109"/>
      <c r="AQ921" s="109"/>
      <c r="AR921" s="109"/>
      <c r="AS921" s="109"/>
      <c r="AT921" s="109"/>
      <c r="AU921" s="109"/>
    </row>
    <row r="922" spans="1:47" ht="14.25" customHeight="1" x14ac:dyDescent="0.3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09"/>
      <c r="AG922" s="109"/>
      <c r="AH922" s="109"/>
      <c r="AI922" s="109"/>
      <c r="AJ922" s="109"/>
      <c r="AK922" s="109"/>
      <c r="AL922" s="109"/>
      <c r="AM922" s="109"/>
      <c r="AN922" s="109"/>
      <c r="AO922" s="109"/>
      <c r="AP922" s="109"/>
      <c r="AQ922" s="109"/>
      <c r="AR922" s="109"/>
      <c r="AS922" s="109"/>
      <c r="AT922" s="109"/>
      <c r="AU922" s="109"/>
    </row>
    <row r="923" spans="1:47" ht="14.25" customHeight="1" x14ac:dyDescent="0.3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09"/>
      <c r="AL923" s="109"/>
      <c r="AM923" s="109"/>
      <c r="AN923" s="109"/>
      <c r="AO923" s="109"/>
      <c r="AP923" s="109"/>
      <c r="AQ923" s="109"/>
      <c r="AR923" s="109"/>
      <c r="AS923" s="109"/>
      <c r="AT923" s="109"/>
      <c r="AU923" s="109"/>
    </row>
    <row r="924" spans="1:47" ht="14.25" customHeight="1" x14ac:dyDescent="0.3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09"/>
      <c r="AG924" s="109"/>
      <c r="AH924" s="109"/>
      <c r="AI924" s="109"/>
      <c r="AJ924" s="109"/>
      <c r="AK924" s="109"/>
      <c r="AL924" s="109"/>
      <c r="AM924" s="109"/>
      <c r="AN924" s="109"/>
      <c r="AO924" s="109"/>
      <c r="AP924" s="109"/>
      <c r="AQ924" s="109"/>
      <c r="AR924" s="109"/>
      <c r="AS924" s="109"/>
      <c r="AT924" s="109"/>
      <c r="AU924" s="109"/>
    </row>
    <row r="925" spans="1:47" ht="14.25" customHeight="1" x14ac:dyDescent="0.3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09"/>
      <c r="AG925" s="109"/>
      <c r="AH925" s="109"/>
      <c r="AI925" s="109"/>
      <c r="AJ925" s="109"/>
      <c r="AK925" s="109"/>
      <c r="AL925" s="109"/>
      <c r="AM925" s="109"/>
      <c r="AN925" s="109"/>
      <c r="AO925" s="109"/>
      <c r="AP925" s="109"/>
      <c r="AQ925" s="109"/>
      <c r="AR925" s="109"/>
      <c r="AS925" s="109"/>
      <c r="AT925" s="109"/>
      <c r="AU925" s="109"/>
    </row>
    <row r="926" spans="1:47" ht="14.25" customHeight="1" x14ac:dyDescent="0.3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09"/>
      <c r="AG926" s="109"/>
      <c r="AH926" s="109"/>
      <c r="AI926" s="109"/>
      <c r="AJ926" s="109"/>
      <c r="AK926" s="109"/>
      <c r="AL926" s="109"/>
      <c r="AM926" s="109"/>
      <c r="AN926" s="109"/>
      <c r="AO926" s="109"/>
      <c r="AP926" s="109"/>
      <c r="AQ926" s="109"/>
      <c r="AR926" s="109"/>
      <c r="AS926" s="109"/>
      <c r="AT926" s="109"/>
      <c r="AU926" s="109"/>
    </row>
    <row r="927" spans="1:47" ht="14.25" customHeight="1" x14ac:dyDescent="0.3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09"/>
      <c r="AG927" s="109"/>
      <c r="AH927" s="109"/>
      <c r="AI927" s="109"/>
      <c r="AJ927" s="109"/>
      <c r="AK927" s="109"/>
      <c r="AL927" s="109"/>
      <c r="AM927" s="109"/>
      <c r="AN927" s="109"/>
      <c r="AO927" s="109"/>
      <c r="AP927" s="109"/>
      <c r="AQ927" s="109"/>
      <c r="AR927" s="109"/>
      <c r="AS927" s="109"/>
      <c r="AT927" s="109"/>
      <c r="AU927" s="109"/>
    </row>
    <row r="928" spans="1:47" ht="14.25" customHeight="1" x14ac:dyDescent="0.3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09"/>
      <c r="AG928" s="109"/>
      <c r="AH928" s="109"/>
      <c r="AI928" s="109"/>
      <c r="AJ928" s="109"/>
      <c r="AK928" s="109"/>
      <c r="AL928" s="109"/>
      <c r="AM928" s="109"/>
      <c r="AN928" s="109"/>
      <c r="AO928" s="109"/>
      <c r="AP928" s="109"/>
      <c r="AQ928" s="109"/>
      <c r="AR928" s="109"/>
      <c r="AS928" s="109"/>
      <c r="AT928" s="109"/>
      <c r="AU928" s="109"/>
    </row>
    <row r="929" spans="1:47" ht="14.25" customHeight="1" x14ac:dyDescent="0.3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09"/>
      <c r="AG929" s="109"/>
      <c r="AH929" s="109"/>
      <c r="AI929" s="109"/>
      <c r="AJ929" s="109"/>
      <c r="AK929" s="109"/>
      <c r="AL929" s="109"/>
      <c r="AM929" s="109"/>
      <c r="AN929" s="109"/>
      <c r="AO929" s="109"/>
      <c r="AP929" s="109"/>
      <c r="AQ929" s="109"/>
      <c r="AR929" s="109"/>
      <c r="AS929" s="109"/>
      <c r="AT929" s="109"/>
      <c r="AU929" s="109"/>
    </row>
    <row r="930" spans="1:47" ht="14.25" customHeight="1" x14ac:dyDescent="0.3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09"/>
      <c r="AG930" s="109"/>
      <c r="AH930" s="109"/>
      <c r="AI930" s="109"/>
      <c r="AJ930" s="109"/>
      <c r="AK930" s="109"/>
      <c r="AL930" s="109"/>
      <c r="AM930" s="109"/>
      <c r="AN930" s="109"/>
      <c r="AO930" s="109"/>
      <c r="AP930" s="109"/>
      <c r="AQ930" s="109"/>
      <c r="AR930" s="109"/>
      <c r="AS930" s="109"/>
      <c r="AT930" s="109"/>
      <c r="AU930" s="109"/>
    </row>
    <row r="931" spans="1:47" ht="14.25" customHeight="1" x14ac:dyDescent="0.3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/>
      <c r="AL931" s="109"/>
      <c r="AM931" s="109"/>
      <c r="AN931" s="109"/>
      <c r="AO931" s="109"/>
      <c r="AP931" s="109"/>
      <c r="AQ931" s="109"/>
      <c r="AR931" s="109"/>
      <c r="AS931" s="109"/>
      <c r="AT931" s="109"/>
      <c r="AU931" s="109"/>
    </row>
    <row r="932" spans="1:47" ht="14.25" customHeight="1" x14ac:dyDescent="0.3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09"/>
      <c r="AG932" s="109"/>
      <c r="AH932" s="109"/>
      <c r="AI932" s="109"/>
      <c r="AJ932" s="109"/>
      <c r="AK932" s="109"/>
      <c r="AL932" s="109"/>
      <c r="AM932" s="109"/>
      <c r="AN932" s="109"/>
      <c r="AO932" s="109"/>
      <c r="AP932" s="109"/>
      <c r="AQ932" s="109"/>
      <c r="AR932" s="109"/>
      <c r="AS932" s="109"/>
      <c r="AT932" s="109"/>
      <c r="AU932" s="109"/>
    </row>
    <row r="933" spans="1:47" ht="14.25" customHeight="1" x14ac:dyDescent="0.3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09"/>
      <c r="AG933" s="109"/>
      <c r="AH933" s="109"/>
      <c r="AI933" s="109"/>
      <c r="AJ933" s="109"/>
      <c r="AK933" s="109"/>
      <c r="AL933" s="109"/>
      <c r="AM933" s="109"/>
      <c r="AN933" s="109"/>
      <c r="AO933" s="109"/>
      <c r="AP933" s="109"/>
      <c r="AQ933" s="109"/>
      <c r="AR933" s="109"/>
      <c r="AS933" s="109"/>
      <c r="AT933" s="109"/>
      <c r="AU933" s="109"/>
    </row>
    <row r="934" spans="1:47" ht="14.25" customHeight="1" x14ac:dyDescent="0.3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09"/>
      <c r="AG934" s="109"/>
      <c r="AH934" s="109"/>
      <c r="AI934" s="109"/>
      <c r="AJ934" s="109"/>
      <c r="AK934" s="109"/>
      <c r="AL934" s="109"/>
      <c r="AM934" s="109"/>
      <c r="AN934" s="109"/>
      <c r="AO934" s="109"/>
      <c r="AP934" s="109"/>
      <c r="AQ934" s="109"/>
      <c r="AR934" s="109"/>
      <c r="AS934" s="109"/>
      <c r="AT934" s="109"/>
      <c r="AU934" s="109"/>
    </row>
    <row r="935" spans="1:47" ht="14.25" customHeight="1" x14ac:dyDescent="0.3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/>
      <c r="AL935" s="109"/>
      <c r="AM935" s="109"/>
      <c r="AN935" s="109"/>
      <c r="AO935" s="109"/>
      <c r="AP935" s="109"/>
      <c r="AQ935" s="109"/>
      <c r="AR935" s="109"/>
      <c r="AS935" s="109"/>
      <c r="AT935" s="109"/>
      <c r="AU935" s="109"/>
    </row>
    <row r="936" spans="1:47" ht="14.25" customHeight="1" x14ac:dyDescent="0.3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09"/>
      <c r="AG936" s="109"/>
      <c r="AH936" s="109"/>
      <c r="AI936" s="109"/>
      <c r="AJ936" s="109"/>
      <c r="AK936" s="109"/>
      <c r="AL936" s="109"/>
      <c r="AM936" s="109"/>
      <c r="AN936" s="109"/>
      <c r="AO936" s="109"/>
      <c r="AP936" s="109"/>
      <c r="AQ936" s="109"/>
      <c r="AR936" s="109"/>
      <c r="AS936" s="109"/>
      <c r="AT936" s="109"/>
      <c r="AU936" s="109"/>
    </row>
    <row r="937" spans="1:47" ht="14.25" customHeight="1" x14ac:dyDescent="0.3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09"/>
      <c r="AG937" s="109"/>
      <c r="AH937" s="109"/>
      <c r="AI937" s="109"/>
      <c r="AJ937" s="109"/>
      <c r="AK937" s="109"/>
      <c r="AL937" s="109"/>
      <c r="AM937" s="109"/>
      <c r="AN937" s="109"/>
      <c r="AO937" s="109"/>
      <c r="AP937" s="109"/>
      <c r="AQ937" s="109"/>
      <c r="AR937" s="109"/>
      <c r="AS937" s="109"/>
      <c r="AT937" s="109"/>
      <c r="AU937" s="109"/>
    </row>
    <row r="938" spans="1:47" ht="14.25" customHeight="1" x14ac:dyDescent="0.3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09"/>
      <c r="AG938" s="109"/>
      <c r="AH938" s="109"/>
      <c r="AI938" s="109"/>
      <c r="AJ938" s="109"/>
      <c r="AK938" s="109"/>
      <c r="AL938" s="109"/>
      <c r="AM938" s="109"/>
      <c r="AN938" s="109"/>
      <c r="AO938" s="109"/>
      <c r="AP938" s="109"/>
      <c r="AQ938" s="109"/>
      <c r="AR938" s="109"/>
      <c r="AS938" s="109"/>
      <c r="AT938" s="109"/>
      <c r="AU938" s="109"/>
    </row>
    <row r="939" spans="1:47" ht="14.25" customHeight="1" x14ac:dyDescent="0.3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  <c r="AD939" s="109"/>
      <c r="AE939" s="109"/>
      <c r="AF939" s="109"/>
      <c r="AG939" s="109"/>
      <c r="AH939" s="109"/>
      <c r="AI939" s="109"/>
      <c r="AJ939" s="109"/>
      <c r="AK939" s="109"/>
      <c r="AL939" s="109"/>
      <c r="AM939" s="109"/>
      <c r="AN939" s="109"/>
      <c r="AO939" s="109"/>
      <c r="AP939" s="109"/>
      <c r="AQ939" s="109"/>
      <c r="AR939" s="109"/>
      <c r="AS939" s="109"/>
      <c r="AT939" s="109"/>
      <c r="AU939" s="109"/>
    </row>
    <row r="940" spans="1:47" ht="14.25" customHeight="1" x14ac:dyDescent="0.3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09"/>
      <c r="AG940" s="109"/>
      <c r="AH940" s="109"/>
      <c r="AI940" s="109"/>
      <c r="AJ940" s="109"/>
      <c r="AK940" s="109"/>
      <c r="AL940" s="109"/>
      <c r="AM940" s="109"/>
      <c r="AN940" s="109"/>
      <c r="AO940" s="109"/>
      <c r="AP940" s="109"/>
      <c r="AQ940" s="109"/>
      <c r="AR940" s="109"/>
      <c r="AS940" s="109"/>
      <c r="AT940" s="109"/>
      <c r="AU940" s="109"/>
    </row>
    <row r="941" spans="1:47" ht="14.25" customHeight="1" x14ac:dyDescent="0.3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09"/>
      <c r="AG941" s="109"/>
      <c r="AH941" s="109"/>
      <c r="AI941" s="109"/>
      <c r="AJ941" s="109"/>
      <c r="AK941" s="109"/>
      <c r="AL941" s="109"/>
      <c r="AM941" s="109"/>
      <c r="AN941" s="109"/>
      <c r="AO941" s="109"/>
      <c r="AP941" s="109"/>
      <c r="AQ941" s="109"/>
      <c r="AR941" s="109"/>
      <c r="AS941" s="109"/>
      <c r="AT941" s="109"/>
      <c r="AU941" s="109"/>
    </row>
    <row r="942" spans="1:47" ht="14.25" customHeight="1" x14ac:dyDescent="0.3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  <c r="AD942" s="109"/>
      <c r="AE942" s="109"/>
      <c r="AF942" s="109"/>
      <c r="AG942" s="109"/>
      <c r="AH942" s="109"/>
      <c r="AI942" s="109"/>
      <c r="AJ942" s="109"/>
      <c r="AK942" s="109"/>
      <c r="AL942" s="109"/>
      <c r="AM942" s="109"/>
      <c r="AN942" s="109"/>
      <c r="AO942" s="109"/>
      <c r="AP942" s="109"/>
      <c r="AQ942" s="109"/>
      <c r="AR942" s="109"/>
      <c r="AS942" s="109"/>
      <c r="AT942" s="109"/>
      <c r="AU942" s="109"/>
    </row>
    <row r="943" spans="1:47" ht="14.25" customHeight="1" x14ac:dyDescent="0.3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09"/>
      <c r="AG943" s="109"/>
      <c r="AH943" s="109"/>
      <c r="AI943" s="109"/>
      <c r="AJ943" s="109"/>
      <c r="AK943" s="109"/>
      <c r="AL943" s="109"/>
      <c r="AM943" s="109"/>
      <c r="AN943" s="109"/>
      <c r="AO943" s="109"/>
      <c r="AP943" s="109"/>
      <c r="AQ943" s="109"/>
      <c r="AR943" s="109"/>
      <c r="AS943" s="109"/>
      <c r="AT943" s="109"/>
      <c r="AU943" s="109"/>
    </row>
    <row r="944" spans="1:47" ht="14.25" customHeight="1" x14ac:dyDescent="0.3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09"/>
      <c r="AG944" s="109"/>
      <c r="AH944" s="109"/>
      <c r="AI944" s="109"/>
      <c r="AJ944" s="109"/>
      <c r="AK944" s="109"/>
      <c r="AL944" s="109"/>
      <c r="AM944" s="109"/>
      <c r="AN944" s="109"/>
      <c r="AO944" s="109"/>
      <c r="AP944" s="109"/>
      <c r="AQ944" s="109"/>
      <c r="AR944" s="109"/>
      <c r="AS944" s="109"/>
      <c r="AT944" s="109"/>
      <c r="AU944" s="109"/>
    </row>
    <row r="945" spans="1:47" ht="14.25" customHeight="1" x14ac:dyDescent="0.3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09"/>
      <c r="AG945" s="109"/>
      <c r="AH945" s="109"/>
      <c r="AI945" s="109"/>
      <c r="AJ945" s="109"/>
      <c r="AK945" s="109"/>
      <c r="AL945" s="109"/>
      <c r="AM945" s="109"/>
      <c r="AN945" s="109"/>
      <c r="AO945" s="109"/>
      <c r="AP945" s="109"/>
      <c r="AQ945" s="109"/>
      <c r="AR945" s="109"/>
      <c r="AS945" s="109"/>
      <c r="AT945" s="109"/>
      <c r="AU945" s="109"/>
    </row>
    <row r="946" spans="1:47" ht="14.25" customHeight="1" x14ac:dyDescent="0.3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09"/>
      <c r="AG946" s="109"/>
      <c r="AH946" s="109"/>
      <c r="AI946" s="109"/>
      <c r="AJ946" s="109"/>
      <c r="AK946" s="109"/>
      <c r="AL946" s="109"/>
      <c r="AM946" s="109"/>
      <c r="AN946" s="109"/>
      <c r="AO946" s="109"/>
      <c r="AP946" s="109"/>
      <c r="AQ946" s="109"/>
      <c r="AR946" s="109"/>
      <c r="AS946" s="109"/>
      <c r="AT946" s="109"/>
      <c r="AU946" s="109"/>
    </row>
    <row r="947" spans="1:47" ht="14.25" customHeight="1" x14ac:dyDescent="0.3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  <c r="AD947" s="109"/>
      <c r="AE947" s="109"/>
      <c r="AF947" s="109"/>
      <c r="AG947" s="109"/>
      <c r="AH947" s="109"/>
      <c r="AI947" s="109"/>
      <c r="AJ947" s="109"/>
      <c r="AK947" s="109"/>
      <c r="AL947" s="109"/>
      <c r="AM947" s="109"/>
      <c r="AN947" s="109"/>
      <c r="AO947" s="109"/>
      <c r="AP947" s="109"/>
      <c r="AQ947" s="109"/>
      <c r="AR947" s="109"/>
      <c r="AS947" s="109"/>
      <c r="AT947" s="109"/>
      <c r="AU947" s="109"/>
    </row>
    <row r="948" spans="1:47" ht="14.25" customHeight="1" x14ac:dyDescent="0.3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  <c r="AD948" s="109"/>
      <c r="AE948" s="109"/>
      <c r="AF948" s="109"/>
      <c r="AG948" s="109"/>
      <c r="AH948" s="109"/>
      <c r="AI948" s="109"/>
      <c r="AJ948" s="109"/>
      <c r="AK948" s="109"/>
      <c r="AL948" s="109"/>
      <c r="AM948" s="109"/>
      <c r="AN948" s="109"/>
      <c r="AO948" s="109"/>
      <c r="AP948" s="109"/>
      <c r="AQ948" s="109"/>
      <c r="AR948" s="109"/>
      <c r="AS948" s="109"/>
      <c r="AT948" s="109"/>
      <c r="AU948" s="109"/>
    </row>
    <row r="949" spans="1:47" ht="14.25" customHeight="1" x14ac:dyDescent="0.3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  <c r="AD949" s="109"/>
      <c r="AE949" s="109"/>
      <c r="AF949" s="109"/>
      <c r="AG949" s="109"/>
      <c r="AH949" s="109"/>
      <c r="AI949" s="109"/>
      <c r="AJ949" s="109"/>
      <c r="AK949" s="109"/>
      <c r="AL949" s="109"/>
      <c r="AM949" s="109"/>
      <c r="AN949" s="109"/>
      <c r="AO949" s="109"/>
      <c r="AP949" s="109"/>
      <c r="AQ949" s="109"/>
      <c r="AR949" s="109"/>
      <c r="AS949" s="109"/>
      <c r="AT949" s="109"/>
      <c r="AU949" s="109"/>
    </row>
    <row r="950" spans="1:47" ht="14.25" customHeight="1" x14ac:dyDescent="0.3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  <c r="AD950" s="109"/>
      <c r="AE950" s="109"/>
      <c r="AF950" s="109"/>
      <c r="AG950" s="109"/>
      <c r="AH950" s="109"/>
      <c r="AI950" s="109"/>
      <c r="AJ950" s="109"/>
      <c r="AK950" s="109"/>
      <c r="AL950" s="109"/>
      <c r="AM950" s="109"/>
      <c r="AN950" s="109"/>
      <c r="AO950" s="109"/>
      <c r="AP950" s="109"/>
      <c r="AQ950" s="109"/>
      <c r="AR950" s="109"/>
      <c r="AS950" s="109"/>
      <c r="AT950" s="109"/>
      <c r="AU950" s="109"/>
    </row>
    <row r="951" spans="1:47" ht="14.25" customHeight="1" x14ac:dyDescent="0.3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  <c r="AA951" s="109"/>
      <c r="AB951" s="109"/>
      <c r="AC951" s="109"/>
      <c r="AD951" s="109"/>
      <c r="AE951" s="109"/>
      <c r="AF951" s="109"/>
      <c r="AG951" s="109"/>
      <c r="AH951" s="109"/>
      <c r="AI951" s="109"/>
      <c r="AJ951" s="109"/>
      <c r="AK951" s="109"/>
      <c r="AL951" s="109"/>
      <c r="AM951" s="109"/>
      <c r="AN951" s="109"/>
      <c r="AO951" s="109"/>
      <c r="AP951" s="109"/>
      <c r="AQ951" s="109"/>
      <c r="AR951" s="109"/>
      <c r="AS951" s="109"/>
      <c r="AT951" s="109"/>
      <c r="AU951" s="109"/>
    </row>
    <row r="952" spans="1:47" ht="14.25" customHeight="1" x14ac:dyDescent="0.3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  <c r="AB952" s="109"/>
      <c r="AC952" s="109"/>
      <c r="AD952" s="109"/>
      <c r="AE952" s="109"/>
      <c r="AF952" s="109"/>
      <c r="AG952" s="109"/>
      <c r="AH952" s="109"/>
      <c r="AI952" s="109"/>
      <c r="AJ952" s="109"/>
      <c r="AK952" s="109"/>
      <c r="AL952" s="109"/>
      <c r="AM952" s="109"/>
      <c r="AN952" s="109"/>
      <c r="AO952" s="109"/>
      <c r="AP952" s="109"/>
      <c r="AQ952" s="109"/>
      <c r="AR952" s="109"/>
      <c r="AS952" s="109"/>
      <c r="AT952" s="109"/>
      <c r="AU952" s="109"/>
    </row>
    <row r="953" spans="1:47" ht="14.25" customHeight="1" x14ac:dyDescent="0.3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  <c r="AD953" s="109"/>
      <c r="AE953" s="109"/>
      <c r="AF953" s="109"/>
      <c r="AG953" s="109"/>
      <c r="AH953" s="109"/>
      <c r="AI953" s="109"/>
      <c r="AJ953" s="109"/>
      <c r="AK953" s="109"/>
      <c r="AL953" s="109"/>
      <c r="AM953" s="109"/>
      <c r="AN953" s="109"/>
      <c r="AO953" s="109"/>
      <c r="AP953" s="109"/>
      <c r="AQ953" s="109"/>
      <c r="AR953" s="109"/>
      <c r="AS953" s="109"/>
      <c r="AT953" s="109"/>
      <c r="AU953" s="109"/>
    </row>
    <row r="954" spans="1:47" ht="14.25" customHeight="1" x14ac:dyDescent="0.3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  <c r="AD954" s="109"/>
      <c r="AE954" s="109"/>
      <c r="AF954" s="109"/>
      <c r="AG954" s="109"/>
      <c r="AH954" s="109"/>
      <c r="AI954" s="109"/>
      <c r="AJ954" s="109"/>
      <c r="AK954" s="109"/>
      <c r="AL954" s="109"/>
      <c r="AM954" s="109"/>
      <c r="AN954" s="109"/>
      <c r="AO954" s="109"/>
      <c r="AP954" s="109"/>
      <c r="AQ954" s="109"/>
      <c r="AR954" s="109"/>
      <c r="AS954" s="109"/>
      <c r="AT954" s="109"/>
      <c r="AU954" s="109"/>
    </row>
    <row r="955" spans="1:47" ht="14.25" customHeight="1" x14ac:dyDescent="0.3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  <c r="AD955" s="109"/>
      <c r="AE955" s="109"/>
      <c r="AF955" s="109"/>
      <c r="AG955" s="109"/>
      <c r="AH955" s="109"/>
      <c r="AI955" s="109"/>
      <c r="AJ955" s="109"/>
      <c r="AK955" s="109"/>
      <c r="AL955" s="109"/>
      <c r="AM955" s="109"/>
      <c r="AN955" s="109"/>
      <c r="AO955" s="109"/>
      <c r="AP955" s="109"/>
      <c r="AQ955" s="109"/>
      <c r="AR955" s="109"/>
      <c r="AS955" s="109"/>
      <c r="AT955" s="109"/>
      <c r="AU955" s="109"/>
    </row>
    <row r="956" spans="1:47" ht="14.25" customHeight="1" x14ac:dyDescent="0.3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  <c r="AD956" s="109"/>
      <c r="AE956" s="109"/>
      <c r="AF956" s="109"/>
      <c r="AG956" s="109"/>
      <c r="AH956" s="109"/>
      <c r="AI956" s="109"/>
      <c r="AJ956" s="109"/>
      <c r="AK956" s="109"/>
      <c r="AL956" s="109"/>
      <c r="AM956" s="109"/>
      <c r="AN956" s="109"/>
      <c r="AO956" s="109"/>
      <c r="AP956" s="109"/>
      <c r="AQ956" s="109"/>
      <c r="AR956" s="109"/>
      <c r="AS956" s="109"/>
      <c r="AT956" s="109"/>
      <c r="AU956" s="109"/>
    </row>
    <row r="957" spans="1:47" ht="14.25" customHeight="1" x14ac:dyDescent="0.3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  <c r="AD957" s="109"/>
      <c r="AE957" s="109"/>
      <c r="AF957" s="109"/>
      <c r="AG957" s="109"/>
      <c r="AH957" s="109"/>
      <c r="AI957" s="109"/>
      <c r="AJ957" s="109"/>
      <c r="AK957" s="109"/>
      <c r="AL957" s="109"/>
      <c r="AM957" s="109"/>
      <c r="AN957" s="109"/>
      <c r="AO957" s="109"/>
      <c r="AP957" s="109"/>
      <c r="AQ957" s="109"/>
      <c r="AR957" s="109"/>
      <c r="AS957" s="109"/>
      <c r="AT957" s="109"/>
      <c r="AU957" s="109"/>
    </row>
    <row r="958" spans="1:47" ht="14.25" customHeight="1" x14ac:dyDescent="0.3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09"/>
      <c r="AC958" s="109"/>
      <c r="AD958" s="109"/>
      <c r="AE958" s="109"/>
      <c r="AF958" s="109"/>
      <c r="AG958" s="109"/>
      <c r="AH958" s="109"/>
      <c r="AI958" s="109"/>
      <c r="AJ958" s="109"/>
      <c r="AK958" s="109"/>
      <c r="AL958" s="109"/>
      <c r="AM958" s="109"/>
      <c r="AN958" s="109"/>
      <c r="AO958" s="109"/>
      <c r="AP958" s="109"/>
      <c r="AQ958" s="109"/>
      <c r="AR958" s="109"/>
      <c r="AS958" s="109"/>
      <c r="AT958" s="109"/>
      <c r="AU958" s="109"/>
    </row>
    <row r="959" spans="1:47" ht="14.25" customHeight="1" x14ac:dyDescent="0.3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  <c r="AD959" s="109"/>
      <c r="AE959" s="109"/>
      <c r="AF959" s="109"/>
      <c r="AG959" s="109"/>
      <c r="AH959" s="109"/>
      <c r="AI959" s="109"/>
      <c r="AJ959" s="109"/>
      <c r="AK959" s="109"/>
      <c r="AL959" s="109"/>
      <c r="AM959" s="109"/>
      <c r="AN959" s="109"/>
      <c r="AO959" s="109"/>
      <c r="AP959" s="109"/>
      <c r="AQ959" s="109"/>
      <c r="AR959" s="109"/>
      <c r="AS959" s="109"/>
      <c r="AT959" s="109"/>
      <c r="AU959" s="109"/>
    </row>
    <row r="960" spans="1:47" ht="14.25" customHeight="1" x14ac:dyDescent="0.3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  <c r="AD960" s="109"/>
      <c r="AE960" s="109"/>
      <c r="AF960" s="109"/>
      <c r="AG960" s="109"/>
      <c r="AH960" s="109"/>
      <c r="AI960" s="109"/>
      <c r="AJ960" s="109"/>
      <c r="AK960" s="109"/>
      <c r="AL960" s="109"/>
      <c r="AM960" s="109"/>
      <c r="AN960" s="109"/>
      <c r="AO960" s="109"/>
      <c r="AP960" s="109"/>
      <c r="AQ960" s="109"/>
      <c r="AR960" s="109"/>
      <c r="AS960" s="109"/>
      <c r="AT960" s="109"/>
      <c r="AU960" s="109"/>
    </row>
    <row r="961" spans="1:47" ht="14.25" customHeight="1" x14ac:dyDescent="0.3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  <c r="AD961" s="109"/>
      <c r="AE961" s="109"/>
      <c r="AF961" s="109"/>
      <c r="AG961" s="109"/>
      <c r="AH961" s="109"/>
      <c r="AI961" s="109"/>
      <c r="AJ961" s="109"/>
      <c r="AK961" s="109"/>
      <c r="AL961" s="109"/>
      <c r="AM961" s="109"/>
      <c r="AN961" s="109"/>
      <c r="AO961" s="109"/>
      <c r="AP961" s="109"/>
      <c r="AQ961" s="109"/>
      <c r="AR961" s="109"/>
      <c r="AS961" s="109"/>
      <c r="AT961" s="109"/>
      <c r="AU961" s="109"/>
    </row>
    <row r="962" spans="1:47" ht="14.25" customHeight="1" x14ac:dyDescent="0.3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  <c r="AD962" s="109"/>
      <c r="AE962" s="109"/>
      <c r="AF962" s="109"/>
      <c r="AG962" s="109"/>
      <c r="AH962" s="109"/>
      <c r="AI962" s="109"/>
      <c r="AJ962" s="109"/>
      <c r="AK962" s="109"/>
      <c r="AL962" s="109"/>
      <c r="AM962" s="109"/>
      <c r="AN962" s="109"/>
      <c r="AO962" s="109"/>
      <c r="AP962" s="109"/>
      <c r="AQ962" s="109"/>
      <c r="AR962" s="109"/>
      <c r="AS962" s="109"/>
      <c r="AT962" s="109"/>
      <c r="AU962" s="109"/>
    </row>
    <row r="963" spans="1:47" ht="14.25" customHeight="1" x14ac:dyDescent="0.3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  <c r="AD963" s="109"/>
      <c r="AE963" s="109"/>
      <c r="AF963" s="109"/>
      <c r="AG963" s="109"/>
      <c r="AH963" s="109"/>
      <c r="AI963" s="109"/>
      <c r="AJ963" s="109"/>
      <c r="AK963" s="109"/>
      <c r="AL963" s="109"/>
      <c r="AM963" s="109"/>
      <c r="AN963" s="109"/>
      <c r="AO963" s="109"/>
      <c r="AP963" s="109"/>
      <c r="AQ963" s="109"/>
      <c r="AR963" s="109"/>
      <c r="AS963" s="109"/>
      <c r="AT963" s="109"/>
      <c r="AU963" s="109"/>
    </row>
    <row r="964" spans="1:47" ht="14.25" customHeight="1" x14ac:dyDescent="0.3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  <c r="AD964" s="109"/>
      <c r="AE964" s="109"/>
      <c r="AF964" s="109"/>
      <c r="AG964" s="109"/>
      <c r="AH964" s="109"/>
      <c r="AI964" s="109"/>
      <c r="AJ964" s="109"/>
      <c r="AK964" s="109"/>
      <c r="AL964" s="109"/>
      <c r="AM964" s="109"/>
      <c r="AN964" s="109"/>
      <c r="AO964" s="109"/>
      <c r="AP964" s="109"/>
      <c r="AQ964" s="109"/>
      <c r="AR964" s="109"/>
      <c r="AS964" s="109"/>
      <c r="AT964" s="109"/>
      <c r="AU964" s="109"/>
    </row>
    <row r="965" spans="1:47" ht="14.25" customHeight="1" x14ac:dyDescent="0.3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  <c r="AD965" s="109"/>
      <c r="AE965" s="109"/>
      <c r="AF965" s="109"/>
      <c r="AG965" s="109"/>
      <c r="AH965" s="109"/>
      <c r="AI965" s="109"/>
      <c r="AJ965" s="109"/>
      <c r="AK965" s="109"/>
      <c r="AL965" s="109"/>
      <c r="AM965" s="109"/>
      <c r="AN965" s="109"/>
      <c r="AO965" s="109"/>
      <c r="AP965" s="109"/>
      <c r="AQ965" s="109"/>
      <c r="AR965" s="109"/>
      <c r="AS965" s="109"/>
      <c r="AT965" s="109"/>
      <c r="AU965" s="109"/>
    </row>
    <row r="966" spans="1:47" ht="14.25" customHeight="1" x14ac:dyDescent="0.3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  <c r="AD966" s="109"/>
      <c r="AE966" s="109"/>
      <c r="AF966" s="109"/>
      <c r="AG966" s="109"/>
      <c r="AH966" s="109"/>
      <c r="AI966" s="109"/>
      <c r="AJ966" s="109"/>
      <c r="AK966" s="109"/>
      <c r="AL966" s="109"/>
      <c r="AM966" s="109"/>
      <c r="AN966" s="109"/>
      <c r="AO966" s="109"/>
      <c r="AP966" s="109"/>
      <c r="AQ966" s="109"/>
      <c r="AR966" s="109"/>
      <c r="AS966" s="109"/>
      <c r="AT966" s="109"/>
      <c r="AU966" s="109"/>
    </row>
    <row r="967" spans="1:47" ht="14.25" customHeight="1" x14ac:dyDescent="0.3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  <c r="AD967" s="109"/>
      <c r="AE967" s="109"/>
      <c r="AF967" s="109"/>
      <c r="AG967" s="109"/>
      <c r="AH967" s="109"/>
      <c r="AI967" s="109"/>
      <c r="AJ967" s="109"/>
      <c r="AK967" s="109"/>
      <c r="AL967" s="109"/>
      <c r="AM967" s="109"/>
      <c r="AN967" s="109"/>
      <c r="AO967" s="109"/>
      <c r="AP967" s="109"/>
      <c r="AQ967" s="109"/>
      <c r="AR967" s="109"/>
      <c r="AS967" s="109"/>
      <c r="AT967" s="109"/>
      <c r="AU967" s="109"/>
    </row>
    <row r="968" spans="1:47" ht="14.25" customHeight="1" x14ac:dyDescent="0.3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  <c r="AD968" s="109"/>
      <c r="AE968" s="109"/>
      <c r="AF968" s="109"/>
      <c r="AG968" s="109"/>
      <c r="AH968" s="109"/>
      <c r="AI968" s="109"/>
      <c r="AJ968" s="109"/>
      <c r="AK968" s="109"/>
      <c r="AL968" s="109"/>
      <c r="AM968" s="109"/>
      <c r="AN968" s="109"/>
      <c r="AO968" s="109"/>
      <c r="AP968" s="109"/>
      <c r="AQ968" s="109"/>
      <c r="AR968" s="109"/>
      <c r="AS968" s="109"/>
      <c r="AT968" s="109"/>
      <c r="AU968" s="109"/>
    </row>
    <row r="969" spans="1:47" ht="14.25" customHeight="1" x14ac:dyDescent="0.3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09"/>
      <c r="AC969" s="109"/>
      <c r="AD969" s="109"/>
      <c r="AE969" s="109"/>
      <c r="AF969" s="109"/>
      <c r="AG969" s="109"/>
      <c r="AH969" s="109"/>
      <c r="AI969" s="109"/>
      <c r="AJ969" s="109"/>
      <c r="AK969" s="109"/>
      <c r="AL969" s="109"/>
      <c r="AM969" s="109"/>
      <c r="AN969" s="109"/>
      <c r="AO969" s="109"/>
      <c r="AP969" s="109"/>
      <c r="AQ969" s="109"/>
      <c r="AR969" s="109"/>
      <c r="AS969" s="109"/>
      <c r="AT969" s="109"/>
      <c r="AU969" s="109"/>
    </row>
    <row r="970" spans="1:47" ht="14.25" customHeight="1" x14ac:dyDescent="0.3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  <c r="AD970" s="109"/>
      <c r="AE970" s="109"/>
      <c r="AF970" s="109"/>
      <c r="AG970" s="109"/>
      <c r="AH970" s="109"/>
      <c r="AI970" s="109"/>
      <c r="AJ970" s="109"/>
      <c r="AK970" s="109"/>
      <c r="AL970" s="109"/>
      <c r="AM970" s="109"/>
      <c r="AN970" s="109"/>
      <c r="AO970" s="109"/>
      <c r="AP970" s="109"/>
      <c r="AQ970" s="109"/>
      <c r="AR970" s="109"/>
      <c r="AS970" s="109"/>
      <c r="AT970" s="109"/>
      <c r="AU970" s="109"/>
    </row>
    <row r="971" spans="1:47" ht="14.25" customHeight="1" x14ac:dyDescent="0.3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  <c r="AD971" s="109"/>
      <c r="AE971" s="109"/>
      <c r="AF971" s="109"/>
      <c r="AG971" s="109"/>
      <c r="AH971" s="109"/>
      <c r="AI971" s="109"/>
      <c r="AJ971" s="109"/>
      <c r="AK971" s="109"/>
      <c r="AL971" s="109"/>
      <c r="AM971" s="109"/>
      <c r="AN971" s="109"/>
      <c r="AO971" s="109"/>
      <c r="AP971" s="109"/>
      <c r="AQ971" s="109"/>
      <c r="AR971" s="109"/>
      <c r="AS971" s="109"/>
      <c r="AT971" s="109"/>
      <c r="AU971" s="109"/>
    </row>
    <row r="972" spans="1:47" ht="14.25" customHeight="1" x14ac:dyDescent="0.3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  <c r="AD972" s="109"/>
      <c r="AE972" s="109"/>
      <c r="AF972" s="109"/>
      <c r="AG972" s="109"/>
      <c r="AH972" s="109"/>
      <c r="AI972" s="109"/>
      <c r="AJ972" s="109"/>
      <c r="AK972" s="109"/>
      <c r="AL972" s="109"/>
      <c r="AM972" s="109"/>
      <c r="AN972" s="109"/>
      <c r="AO972" s="109"/>
      <c r="AP972" s="109"/>
      <c r="AQ972" s="109"/>
      <c r="AR972" s="109"/>
      <c r="AS972" s="109"/>
      <c r="AT972" s="109"/>
      <c r="AU972" s="109"/>
    </row>
    <row r="973" spans="1:47" ht="14.25" customHeight="1" x14ac:dyDescent="0.3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  <c r="AD973" s="109"/>
      <c r="AE973" s="109"/>
      <c r="AF973" s="109"/>
      <c r="AG973" s="109"/>
      <c r="AH973" s="109"/>
      <c r="AI973" s="109"/>
      <c r="AJ973" s="109"/>
      <c r="AK973" s="109"/>
      <c r="AL973" s="109"/>
      <c r="AM973" s="109"/>
      <c r="AN973" s="109"/>
      <c r="AO973" s="109"/>
      <c r="AP973" s="109"/>
      <c r="AQ973" s="109"/>
      <c r="AR973" s="109"/>
      <c r="AS973" s="109"/>
      <c r="AT973" s="109"/>
      <c r="AU973" s="109"/>
    </row>
    <row r="974" spans="1:47" ht="14.25" customHeight="1" x14ac:dyDescent="0.3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  <c r="AD974" s="109"/>
      <c r="AE974" s="109"/>
      <c r="AF974" s="109"/>
      <c r="AG974" s="109"/>
      <c r="AH974" s="109"/>
      <c r="AI974" s="109"/>
      <c r="AJ974" s="109"/>
      <c r="AK974" s="109"/>
      <c r="AL974" s="109"/>
      <c r="AM974" s="109"/>
      <c r="AN974" s="109"/>
      <c r="AO974" s="109"/>
      <c r="AP974" s="109"/>
      <c r="AQ974" s="109"/>
      <c r="AR974" s="109"/>
      <c r="AS974" s="109"/>
      <c r="AT974" s="109"/>
      <c r="AU974" s="109"/>
    </row>
    <row r="975" spans="1:47" ht="14.25" customHeight="1" x14ac:dyDescent="0.3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  <c r="AD975" s="109"/>
      <c r="AE975" s="109"/>
      <c r="AF975" s="109"/>
      <c r="AG975" s="109"/>
      <c r="AH975" s="109"/>
      <c r="AI975" s="109"/>
      <c r="AJ975" s="109"/>
      <c r="AK975" s="109"/>
      <c r="AL975" s="109"/>
      <c r="AM975" s="109"/>
      <c r="AN975" s="109"/>
      <c r="AO975" s="109"/>
      <c r="AP975" s="109"/>
      <c r="AQ975" s="109"/>
      <c r="AR975" s="109"/>
      <c r="AS975" s="109"/>
      <c r="AT975" s="109"/>
      <c r="AU975" s="109"/>
    </row>
    <row r="976" spans="1:47" ht="14.25" customHeight="1" x14ac:dyDescent="0.3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  <c r="AD976" s="109"/>
      <c r="AE976" s="109"/>
      <c r="AF976" s="109"/>
      <c r="AG976" s="109"/>
      <c r="AH976" s="109"/>
      <c r="AI976" s="109"/>
      <c r="AJ976" s="109"/>
      <c r="AK976" s="109"/>
      <c r="AL976" s="109"/>
      <c r="AM976" s="109"/>
      <c r="AN976" s="109"/>
      <c r="AO976" s="109"/>
      <c r="AP976" s="109"/>
      <c r="AQ976" s="109"/>
      <c r="AR976" s="109"/>
      <c r="AS976" s="109"/>
      <c r="AT976" s="109"/>
      <c r="AU976" s="109"/>
    </row>
    <row r="977" spans="1:47" ht="14.25" customHeight="1" x14ac:dyDescent="0.3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  <c r="AD977" s="109"/>
      <c r="AE977" s="109"/>
      <c r="AF977" s="109"/>
      <c r="AG977" s="109"/>
      <c r="AH977" s="109"/>
      <c r="AI977" s="109"/>
      <c r="AJ977" s="109"/>
      <c r="AK977" s="109"/>
      <c r="AL977" s="109"/>
      <c r="AM977" s="109"/>
      <c r="AN977" s="109"/>
      <c r="AO977" s="109"/>
      <c r="AP977" s="109"/>
      <c r="AQ977" s="109"/>
      <c r="AR977" s="109"/>
      <c r="AS977" s="109"/>
      <c r="AT977" s="109"/>
      <c r="AU977" s="109"/>
    </row>
    <row r="978" spans="1:47" ht="14.25" customHeight="1" x14ac:dyDescent="0.3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  <c r="AD978" s="109"/>
      <c r="AE978" s="109"/>
      <c r="AF978" s="109"/>
      <c r="AG978" s="109"/>
      <c r="AH978" s="109"/>
      <c r="AI978" s="109"/>
      <c r="AJ978" s="109"/>
      <c r="AK978" s="109"/>
      <c r="AL978" s="109"/>
      <c r="AM978" s="109"/>
      <c r="AN978" s="109"/>
      <c r="AO978" s="109"/>
      <c r="AP978" s="109"/>
      <c r="AQ978" s="109"/>
      <c r="AR978" s="109"/>
      <c r="AS978" s="109"/>
      <c r="AT978" s="109"/>
      <c r="AU978" s="109"/>
    </row>
    <row r="979" spans="1:47" ht="14.25" customHeight="1" x14ac:dyDescent="0.3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/>
      <c r="AL979" s="109"/>
      <c r="AM979" s="109"/>
      <c r="AN979" s="109"/>
      <c r="AO979" s="109"/>
      <c r="AP979" s="109"/>
      <c r="AQ979" s="109"/>
      <c r="AR979" s="109"/>
      <c r="AS979" s="109"/>
      <c r="AT979" s="109"/>
      <c r="AU979" s="109"/>
    </row>
    <row r="980" spans="1:47" ht="14.25" customHeight="1" x14ac:dyDescent="0.3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  <c r="AD980" s="109"/>
      <c r="AE980" s="109"/>
      <c r="AF980" s="109"/>
      <c r="AG980" s="109"/>
      <c r="AH980" s="109"/>
      <c r="AI980" s="109"/>
      <c r="AJ980" s="109"/>
      <c r="AK980" s="109"/>
      <c r="AL980" s="109"/>
      <c r="AM980" s="109"/>
      <c r="AN980" s="109"/>
      <c r="AO980" s="109"/>
      <c r="AP980" s="109"/>
      <c r="AQ980" s="109"/>
      <c r="AR980" s="109"/>
      <c r="AS980" s="109"/>
      <c r="AT980" s="109"/>
      <c r="AU980" s="109"/>
    </row>
    <row r="981" spans="1:47" ht="14.25" customHeight="1" x14ac:dyDescent="0.3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  <c r="AD981" s="109"/>
      <c r="AE981" s="109"/>
      <c r="AF981" s="109"/>
      <c r="AG981" s="109"/>
      <c r="AH981" s="109"/>
      <c r="AI981" s="109"/>
      <c r="AJ981" s="109"/>
      <c r="AK981" s="109"/>
      <c r="AL981" s="109"/>
      <c r="AM981" s="109"/>
      <c r="AN981" s="109"/>
      <c r="AO981" s="109"/>
      <c r="AP981" s="109"/>
      <c r="AQ981" s="109"/>
      <c r="AR981" s="109"/>
      <c r="AS981" s="109"/>
      <c r="AT981" s="109"/>
      <c r="AU981" s="109"/>
    </row>
    <row r="982" spans="1:47" ht="14.25" customHeight="1" x14ac:dyDescent="0.3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  <c r="AD982" s="109"/>
      <c r="AE982" s="109"/>
      <c r="AF982" s="109"/>
      <c r="AG982" s="109"/>
      <c r="AH982" s="109"/>
      <c r="AI982" s="109"/>
      <c r="AJ982" s="109"/>
      <c r="AK982" s="109"/>
      <c r="AL982" s="109"/>
      <c r="AM982" s="109"/>
      <c r="AN982" s="109"/>
      <c r="AO982" s="109"/>
      <c r="AP982" s="109"/>
      <c r="AQ982" s="109"/>
      <c r="AR982" s="109"/>
      <c r="AS982" s="109"/>
      <c r="AT982" s="109"/>
      <c r="AU982" s="109"/>
    </row>
    <row r="983" spans="1:47" ht="14.25" customHeight="1" x14ac:dyDescent="0.3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  <c r="AD983" s="109"/>
      <c r="AE983" s="109"/>
      <c r="AF983" s="109"/>
      <c r="AG983" s="109"/>
      <c r="AH983" s="109"/>
      <c r="AI983" s="109"/>
      <c r="AJ983" s="109"/>
      <c r="AK983" s="109"/>
      <c r="AL983" s="109"/>
      <c r="AM983" s="109"/>
      <c r="AN983" s="109"/>
      <c r="AO983" s="109"/>
      <c r="AP983" s="109"/>
      <c r="AQ983" s="109"/>
      <c r="AR983" s="109"/>
      <c r="AS983" s="109"/>
      <c r="AT983" s="109"/>
      <c r="AU983" s="109"/>
    </row>
    <row r="984" spans="1:47" ht="14.25" customHeight="1" x14ac:dyDescent="0.3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  <c r="AD984" s="109"/>
      <c r="AE984" s="109"/>
      <c r="AF984" s="109"/>
      <c r="AG984" s="109"/>
      <c r="AH984" s="109"/>
      <c r="AI984" s="109"/>
      <c r="AJ984" s="109"/>
      <c r="AK984" s="109"/>
      <c r="AL984" s="109"/>
      <c r="AM984" s="109"/>
      <c r="AN984" s="109"/>
      <c r="AO984" s="109"/>
      <c r="AP984" s="109"/>
      <c r="AQ984" s="109"/>
      <c r="AR984" s="109"/>
      <c r="AS984" s="109"/>
      <c r="AT984" s="109"/>
      <c r="AU984" s="109"/>
    </row>
    <row r="985" spans="1:47" ht="14.25" customHeight="1" x14ac:dyDescent="0.3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  <c r="AD985" s="109"/>
      <c r="AE985" s="109"/>
      <c r="AF985" s="109"/>
      <c r="AG985" s="109"/>
      <c r="AH985" s="109"/>
      <c r="AI985" s="109"/>
      <c r="AJ985" s="109"/>
      <c r="AK985" s="109"/>
      <c r="AL985" s="109"/>
      <c r="AM985" s="109"/>
      <c r="AN985" s="109"/>
      <c r="AO985" s="109"/>
      <c r="AP985" s="109"/>
      <c r="AQ985" s="109"/>
      <c r="AR985" s="109"/>
      <c r="AS985" s="109"/>
      <c r="AT985" s="109"/>
      <c r="AU985" s="109"/>
    </row>
    <row r="986" spans="1:47" ht="14" x14ac:dyDescent="0.3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  <c r="AD986" s="109"/>
      <c r="AE986" s="109"/>
      <c r="AF986" s="109"/>
      <c r="AG986" s="109"/>
      <c r="AH986" s="109"/>
      <c r="AI986" s="109"/>
      <c r="AJ986" s="109"/>
      <c r="AK986" s="109"/>
      <c r="AL986" s="109"/>
      <c r="AM986" s="109"/>
      <c r="AN986" s="109"/>
      <c r="AO986" s="109"/>
      <c r="AP986" s="109"/>
      <c r="AQ986" s="109"/>
      <c r="AR986" s="109"/>
      <c r="AS986" s="109"/>
      <c r="AT986" s="109"/>
      <c r="AU986" s="109"/>
    </row>
    <row r="987" spans="1:47" ht="14" x14ac:dyDescent="0.3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  <c r="AD987" s="109"/>
      <c r="AE987" s="109"/>
      <c r="AF987" s="109"/>
      <c r="AG987" s="109"/>
      <c r="AH987" s="109"/>
      <c r="AI987" s="109"/>
      <c r="AJ987" s="109"/>
      <c r="AK987" s="109"/>
      <c r="AL987" s="109"/>
      <c r="AM987" s="109"/>
      <c r="AN987" s="109"/>
      <c r="AO987" s="109"/>
      <c r="AP987" s="109"/>
      <c r="AQ987" s="109"/>
      <c r="AR987" s="109"/>
      <c r="AS987" s="109"/>
      <c r="AT987" s="109"/>
      <c r="AU987" s="109"/>
    </row>
    <row r="988" spans="1:47" ht="14" x14ac:dyDescent="0.3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  <c r="AD988" s="109"/>
      <c r="AE988" s="109"/>
      <c r="AF988" s="109"/>
      <c r="AG988" s="109"/>
      <c r="AH988" s="109"/>
      <c r="AI988" s="109"/>
      <c r="AJ988" s="109"/>
      <c r="AK988" s="109"/>
      <c r="AL988" s="109"/>
      <c r="AM988" s="109"/>
      <c r="AN988" s="109"/>
      <c r="AO988" s="109"/>
      <c r="AP988" s="109"/>
      <c r="AQ988" s="109"/>
      <c r="AR988" s="109"/>
      <c r="AS988" s="109"/>
      <c r="AT988" s="109"/>
      <c r="AU988" s="109"/>
    </row>
    <row r="989" spans="1:47" ht="14" x14ac:dyDescent="0.3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  <c r="AD989" s="109"/>
      <c r="AE989" s="109"/>
      <c r="AF989" s="109"/>
      <c r="AG989" s="109"/>
      <c r="AH989" s="109"/>
      <c r="AI989" s="109"/>
      <c r="AJ989" s="109"/>
      <c r="AK989" s="109"/>
      <c r="AL989" s="109"/>
      <c r="AM989" s="109"/>
      <c r="AN989" s="109"/>
      <c r="AO989" s="109"/>
      <c r="AP989" s="109"/>
      <c r="AQ989" s="109"/>
      <c r="AR989" s="109"/>
      <c r="AS989" s="109"/>
      <c r="AT989" s="109"/>
      <c r="AU989" s="109"/>
    </row>
    <row r="990" spans="1:47" ht="14" x14ac:dyDescent="0.3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  <c r="AD990" s="110"/>
      <c r="AE990" s="110"/>
      <c r="AF990" s="110"/>
      <c r="AG990" s="110"/>
      <c r="AH990" s="110"/>
      <c r="AI990" s="110"/>
      <c r="AJ990" s="110"/>
      <c r="AK990" s="110"/>
      <c r="AL990" s="110"/>
      <c r="AM990" s="110"/>
      <c r="AN990" s="110"/>
      <c r="AO990" s="110"/>
      <c r="AP990" s="110"/>
      <c r="AQ990" s="110"/>
      <c r="AR990" s="110"/>
      <c r="AS990" s="110"/>
      <c r="AT990" s="110"/>
      <c r="AU990" s="110"/>
    </row>
  </sheetData>
  <mergeCells count="49">
    <mergeCell ref="X2:X3"/>
    <mergeCell ref="Z2:Z3"/>
    <mergeCell ref="AA2:AA3"/>
    <mergeCell ref="AC2:AC3"/>
    <mergeCell ref="AD2:AD3"/>
    <mergeCell ref="AB2:AB3"/>
    <mergeCell ref="AQ2:AQ3"/>
    <mergeCell ref="AR2:AR3"/>
    <mergeCell ref="AE2:AE3"/>
    <mergeCell ref="AF2:AF3"/>
    <mergeCell ref="Y2:Y3"/>
    <mergeCell ref="F2:F3"/>
    <mergeCell ref="A1:A3"/>
    <mergeCell ref="B1:B3"/>
    <mergeCell ref="E2:E3"/>
    <mergeCell ref="C2:C3"/>
    <mergeCell ref="D2:D3"/>
    <mergeCell ref="C1:S1"/>
    <mergeCell ref="G2:G3"/>
    <mergeCell ref="H2:H3"/>
    <mergeCell ref="R2:S2"/>
    <mergeCell ref="I2:I3"/>
    <mergeCell ref="J2:J3"/>
    <mergeCell ref="K2:K3"/>
    <mergeCell ref="T2:T3"/>
    <mergeCell ref="N2:N3"/>
    <mergeCell ref="M2:M3"/>
    <mergeCell ref="L2:L3"/>
    <mergeCell ref="W2:W3"/>
    <mergeCell ref="U2:U3"/>
    <mergeCell ref="Q2:Q3"/>
    <mergeCell ref="O2:O3"/>
    <mergeCell ref="P2:P3"/>
    <mergeCell ref="G30:I30"/>
    <mergeCell ref="AU1:AU3"/>
    <mergeCell ref="AT2:AT3"/>
    <mergeCell ref="AS2:AS3"/>
    <mergeCell ref="AG2:AG3"/>
    <mergeCell ref="AH2:AH3"/>
    <mergeCell ref="AI2:AI3"/>
    <mergeCell ref="V1:AR1"/>
    <mergeCell ref="AJ2:AJ3"/>
    <mergeCell ref="AK2:AK3"/>
    <mergeCell ref="AL2:AL3"/>
    <mergeCell ref="AN2:AN3"/>
    <mergeCell ref="AO2:AO3"/>
    <mergeCell ref="AP2:AP3"/>
    <mergeCell ref="AM2:AM3"/>
    <mergeCell ref="V2:V3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34"/>
  <sheetViews>
    <sheetView zoomScale="85" zoomScaleNormal="85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ColWidth="12.58203125" defaultRowHeight="15" customHeight="1" x14ac:dyDescent="0.3"/>
  <cols>
    <col min="1" max="1" width="3.83203125" customWidth="1"/>
    <col min="2" max="2" width="26.33203125" customWidth="1"/>
    <col min="12" max="12" width="64.58203125" customWidth="1"/>
  </cols>
  <sheetData>
    <row r="1" spans="1:12" ht="15" customHeight="1" x14ac:dyDescent="0.3">
      <c r="A1" s="403" t="s">
        <v>0</v>
      </c>
      <c r="B1" s="149" t="s">
        <v>129</v>
      </c>
      <c r="C1" s="149"/>
      <c r="D1" s="149"/>
      <c r="E1" s="404" t="s">
        <v>132</v>
      </c>
      <c r="F1" s="371"/>
      <c r="G1" s="371"/>
      <c r="H1" s="371"/>
      <c r="I1" s="371"/>
      <c r="J1" s="371"/>
      <c r="K1" s="372"/>
      <c r="L1" s="405" t="s">
        <v>133</v>
      </c>
    </row>
    <row r="2" spans="1:12" ht="15" customHeight="1" x14ac:dyDescent="0.3">
      <c r="A2" s="367"/>
      <c r="B2" s="149" t="s">
        <v>134</v>
      </c>
      <c r="C2" s="150" t="s">
        <v>135</v>
      </c>
      <c r="D2" s="150" t="s">
        <v>136</v>
      </c>
      <c r="E2" s="150" t="s">
        <v>137</v>
      </c>
      <c r="F2" s="151" t="s">
        <v>138</v>
      </c>
      <c r="G2" s="150" t="s">
        <v>139</v>
      </c>
      <c r="H2" s="150" t="s">
        <v>140</v>
      </c>
      <c r="I2" s="150" t="s">
        <v>141</v>
      </c>
      <c r="J2" s="150" t="s">
        <v>142</v>
      </c>
      <c r="K2" s="150" t="s">
        <v>143</v>
      </c>
      <c r="L2" s="354"/>
    </row>
    <row r="3" spans="1:12" ht="14.5" x14ac:dyDescent="0.35">
      <c r="A3" s="152">
        <v>1</v>
      </c>
      <c r="B3" s="153" t="s">
        <v>20</v>
      </c>
      <c r="C3" s="154">
        <f t="shared" ref="C3:C4" si="0">1.77*10^-7</f>
        <v>1.7699999999999998E-7</v>
      </c>
      <c r="D3" s="155">
        <v>0.76900000000000002</v>
      </c>
      <c r="E3" s="156">
        <v>5.1299999999999998E-2</v>
      </c>
      <c r="F3" s="157">
        <f t="shared" ref="F3:F4" si="1">9.04*10^-9</f>
        <v>9.0400000000000002E-9</v>
      </c>
      <c r="G3" s="156">
        <v>2.0899999999999998E-2</v>
      </c>
      <c r="H3" s="158">
        <v>2.22E-4</v>
      </c>
      <c r="I3" s="157">
        <f t="shared" ref="I3:I4" si="2">5.37*10^-5</f>
        <v>5.3700000000000004E-5</v>
      </c>
      <c r="J3" s="157">
        <f t="shared" ref="J3:J4" si="3">7.05*10^-6</f>
        <v>7.0499999999999994E-6</v>
      </c>
      <c r="K3" s="156"/>
      <c r="L3" s="153" t="s">
        <v>144</v>
      </c>
    </row>
    <row r="4" spans="1:12" ht="14.5" x14ac:dyDescent="0.35">
      <c r="A4" s="156">
        <v>2</v>
      </c>
      <c r="B4" s="153" t="s">
        <v>34</v>
      </c>
      <c r="C4" s="154">
        <f t="shared" si="0"/>
        <v>1.7699999999999998E-7</v>
      </c>
      <c r="D4" s="155">
        <v>0.76900000000000002</v>
      </c>
      <c r="E4" s="156">
        <v>5.1299999999999998E-2</v>
      </c>
      <c r="F4" s="157">
        <f t="shared" si="1"/>
        <v>9.0400000000000002E-9</v>
      </c>
      <c r="G4" s="156">
        <v>2.0899999999999998E-2</v>
      </c>
      <c r="H4" s="158">
        <v>2.22E-4</v>
      </c>
      <c r="I4" s="157">
        <f t="shared" si="2"/>
        <v>5.3700000000000004E-5</v>
      </c>
      <c r="J4" s="157">
        <f t="shared" si="3"/>
        <v>7.0499999999999994E-6</v>
      </c>
      <c r="K4" s="156"/>
      <c r="L4" s="153" t="s">
        <v>144</v>
      </c>
    </row>
    <row r="5" spans="1:12" ht="14.5" x14ac:dyDescent="0.35">
      <c r="A5" s="156">
        <v>3</v>
      </c>
      <c r="B5" s="153" t="s">
        <v>145</v>
      </c>
      <c r="C5" s="159">
        <v>0</v>
      </c>
      <c r="D5" s="159">
        <v>0</v>
      </c>
      <c r="E5" s="160">
        <v>0</v>
      </c>
      <c r="F5" s="160">
        <v>0</v>
      </c>
      <c r="G5" s="160">
        <v>0</v>
      </c>
      <c r="H5" s="160">
        <v>0</v>
      </c>
      <c r="I5" s="160">
        <v>0</v>
      </c>
      <c r="J5" s="160">
        <v>0</v>
      </c>
      <c r="K5" s="161"/>
      <c r="L5" s="153" t="s">
        <v>146</v>
      </c>
    </row>
    <row r="6" spans="1:12" ht="15" customHeight="1" x14ac:dyDescent="0.3">
      <c r="A6" s="156">
        <v>4</v>
      </c>
      <c r="B6" s="153" t="s">
        <v>147</v>
      </c>
      <c r="C6" s="159">
        <v>0</v>
      </c>
      <c r="D6" s="159">
        <v>31.5</v>
      </c>
      <c r="E6" s="156">
        <v>0.11700000000000001</v>
      </c>
      <c r="F6" s="154">
        <f>1.75*10^-11</f>
        <v>1.7499999999999998E-11</v>
      </c>
      <c r="G6" s="156">
        <v>3.6299999999999999E-2</v>
      </c>
      <c r="H6" s="156">
        <v>4.0000000000000002E-4</v>
      </c>
      <c r="I6" s="154">
        <f>2.26*10^-5</f>
        <v>2.26E-5</v>
      </c>
      <c r="J6" s="154">
        <f>5.96*10^-5</f>
        <v>5.9600000000000005E-5</v>
      </c>
      <c r="K6" s="156"/>
      <c r="L6" s="153" t="s">
        <v>148</v>
      </c>
    </row>
    <row r="7" spans="1:12" ht="15" customHeight="1" x14ac:dyDescent="0.3">
      <c r="A7" s="156">
        <v>5</v>
      </c>
      <c r="B7" s="153" t="s">
        <v>149</v>
      </c>
      <c r="C7" s="154">
        <f>5.78*10^-7</f>
        <v>5.7800000000000001E-7</v>
      </c>
      <c r="D7" s="159">
        <v>50.2</v>
      </c>
      <c r="E7" s="158">
        <v>0.47899999999999998</v>
      </c>
      <c r="F7" s="158">
        <v>6.4499999999999997E-7</v>
      </c>
      <c r="G7" s="158">
        <v>0.19900000000000001</v>
      </c>
      <c r="H7" s="158">
        <v>5.1500000000000001E-3</v>
      </c>
      <c r="I7" s="158">
        <v>6.3500000000000004E-4</v>
      </c>
      <c r="J7" s="158">
        <v>2.05E-4</v>
      </c>
      <c r="K7" s="158"/>
      <c r="L7" s="153" t="s">
        <v>150</v>
      </c>
    </row>
    <row r="8" spans="1:12" ht="15" customHeight="1" x14ac:dyDescent="0.3">
      <c r="A8" s="156">
        <v>6</v>
      </c>
      <c r="B8" s="153" t="s">
        <v>31</v>
      </c>
      <c r="C8" s="154">
        <f>1.4*10^-5</f>
        <v>1.4E-5</v>
      </c>
      <c r="D8" s="159">
        <v>6.84</v>
      </c>
      <c r="E8" s="158">
        <v>0.85299999999999998</v>
      </c>
      <c r="F8" s="154">
        <f>2.27*10^-8</f>
        <v>2.2700000000000001E-8</v>
      </c>
      <c r="G8" s="159">
        <v>1.45</v>
      </c>
      <c r="H8" s="158">
        <v>2.2899999999999999E-3</v>
      </c>
      <c r="I8" s="158">
        <v>9.4300000000000004E-4</v>
      </c>
      <c r="J8" s="158">
        <v>1.6699999999999999E-4</v>
      </c>
      <c r="K8" s="158"/>
      <c r="L8" s="153" t="s">
        <v>151</v>
      </c>
    </row>
    <row r="9" spans="1:12" ht="15" customHeight="1" x14ac:dyDescent="0.3">
      <c r="A9" s="156">
        <v>7</v>
      </c>
      <c r="B9" s="153" t="s">
        <v>152</v>
      </c>
      <c r="C9" s="159">
        <v>0</v>
      </c>
      <c r="D9" s="159">
        <v>14.1</v>
      </c>
      <c r="E9" s="158">
        <v>1.08</v>
      </c>
      <c r="F9" s="154">
        <f>8.2*10^-12</f>
        <v>8.1999999999999998E-12</v>
      </c>
      <c r="G9" s="158">
        <v>0.20399999999999999</v>
      </c>
      <c r="H9" s="158">
        <v>9.8200000000000006E-3</v>
      </c>
      <c r="I9" s="158">
        <v>3.9990000000000002E-4</v>
      </c>
      <c r="J9" s="158">
        <v>3.57E-4</v>
      </c>
      <c r="K9" s="158"/>
      <c r="L9" s="153" t="s">
        <v>153</v>
      </c>
    </row>
    <row r="10" spans="1:12" ht="15" customHeight="1" x14ac:dyDescent="0.3">
      <c r="A10" s="156">
        <v>8</v>
      </c>
      <c r="B10" s="153" t="s">
        <v>154</v>
      </c>
      <c r="C10" s="154">
        <f>4.9*10^-9</f>
        <v>4.9000000000000009E-9</v>
      </c>
      <c r="D10" s="162">
        <v>1.1900000000000001E-2</v>
      </c>
      <c r="E10" s="158">
        <v>1.0499999999999999E-3</v>
      </c>
      <c r="F10" s="154">
        <f>3.28*10^-10</f>
        <v>3.28E-10</v>
      </c>
      <c r="G10" s="158">
        <v>6.6399999999999999E-4</v>
      </c>
      <c r="H10" s="154">
        <f>4.42*10^-6</f>
        <v>4.42E-6</v>
      </c>
      <c r="I10" s="154">
        <f>2.52*10^-6</f>
        <v>2.52E-6</v>
      </c>
      <c r="J10" s="154">
        <f>2.48*10^-7</f>
        <v>2.48E-7</v>
      </c>
      <c r="K10" s="158"/>
      <c r="L10" s="153" t="s">
        <v>155</v>
      </c>
    </row>
    <row r="11" spans="1:12" ht="15" customHeight="1" x14ac:dyDescent="0.3">
      <c r="A11" s="156">
        <v>9</v>
      </c>
      <c r="B11" s="163" t="s">
        <v>156</v>
      </c>
      <c r="C11" s="154">
        <f>2.02*10^-5</f>
        <v>2.0200000000000003E-5</v>
      </c>
      <c r="D11" s="159">
        <v>60.4</v>
      </c>
      <c r="E11" s="158">
        <v>1.36</v>
      </c>
      <c r="F11" s="154">
        <f>5.98*10^-7</f>
        <v>5.9800000000000003E-7</v>
      </c>
      <c r="G11" s="158">
        <v>1.08</v>
      </c>
      <c r="H11" s="158">
        <v>8.2500000000000004E-3</v>
      </c>
      <c r="I11" s="158">
        <v>1.9400000000000001E-3</v>
      </c>
      <c r="J11" s="158">
        <v>3.9500000000000001E-4</v>
      </c>
      <c r="K11" s="158"/>
      <c r="L11" s="153" t="s">
        <v>153</v>
      </c>
    </row>
    <row r="12" spans="1:12" ht="15" customHeight="1" x14ac:dyDescent="0.3">
      <c r="A12" s="156">
        <v>10</v>
      </c>
      <c r="B12" s="164" t="s">
        <v>157</v>
      </c>
      <c r="C12" s="154">
        <f>6.54*10^-6</f>
        <v>6.5400000000000001E-6</v>
      </c>
      <c r="D12" s="159">
        <v>5.26</v>
      </c>
      <c r="E12" s="158">
        <v>0.53900000000000003</v>
      </c>
      <c r="F12" s="154">
        <f>3.39*10^-8</f>
        <v>3.3899999999999999E-8</v>
      </c>
      <c r="G12" s="158">
        <v>0.95899999999999996</v>
      </c>
      <c r="H12" s="158">
        <v>4.2500000000000003E-3</v>
      </c>
      <c r="I12" s="158">
        <v>1.35E-2</v>
      </c>
      <c r="J12" s="158">
        <v>1.54E-4</v>
      </c>
      <c r="K12" s="158"/>
      <c r="L12" s="153" t="s">
        <v>158</v>
      </c>
    </row>
    <row r="13" spans="1:12" ht="15" customHeight="1" x14ac:dyDescent="0.3">
      <c r="A13" s="156">
        <v>11</v>
      </c>
      <c r="B13" s="163" t="s">
        <v>159</v>
      </c>
      <c r="C13" s="154">
        <f>5.57*10^-5</f>
        <v>5.5700000000000005E-5</v>
      </c>
      <c r="D13" s="159">
        <v>75.900000000000006</v>
      </c>
      <c r="E13" s="158">
        <v>8.5500000000000007</v>
      </c>
      <c r="F13" s="154">
        <f>3.93*10^-7</f>
        <v>3.9299999999999999E-7</v>
      </c>
      <c r="G13" s="158">
        <v>4.13</v>
      </c>
      <c r="H13" s="158">
        <v>7.6799999999999993E-2</v>
      </c>
      <c r="I13" s="158">
        <v>0.114</v>
      </c>
      <c r="J13" s="158">
        <v>1.2099999999999999E-3</v>
      </c>
      <c r="K13" s="158"/>
      <c r="L13" s="153" t="s">
        <v>160</v>
      </c>
    </row>
    <row r="14" spans="1:12" ht="15" customHeight="1" x14ac:dyDescent="0.3">
      <c r="A14" s="156">
        <v>12</v>
      </c>
      <c r="B14" s="164" t="s">
        <v>161</v>
      </c>
      <c r="C14" s="154">
        <f>1.89*10^-8</f>
        <v>1.89E-8</v>
      </c>
      <c r="D14" s="159">
        <v>8.7800000000000003E-2</v>
      </c>
      <c r="E14" s="158">
        <v>0.92300000000000004</v>
      </c>
      <c r="F14" s="154">
        <f>9.19*10^-10</f>
        <v>9.1900000000000003E-10</v>
      </c>
      <c r="G14" s="158">
        <v>0.97299999999999998</v>
      </c>
      <c r="H14" s="158">
        <v>4.8299999999999998E-4</v>
      </c>
      <c r="I14" s="158">
        <v>6.0299999999999998E-3</v>
      </c>
      <c r="J14" s="158">
        <v>5.1199999999999998E-4</v>
      </c>
      <c r="K14" s="158"/>
      <c r="L14" s="153" t="s">
        <v>162</v>
      </c>
    </row>
    <row r="15" spans="1:12" ht="15" customHeight="1" x14ac:dyDescent="0.3">
      <c r="A15" s="156">
        <v>13</v>
      </c>
      <c r="B15" s="164" t="s">
        <v>163</v>
      </c>
      <c r="C15" s="154">
        <f>2.92*10^-8</f>
        <v>2.92E-8</v>
      </c>
      <c r="D15" s="159">
        <v>0.44600000000000001</v>
      </c>
      <c r="E15" s="158">
        <v>3.2599999999999997E-2</v>
      </c>
      <c r="F15" s="154">
        <f>5.67*10^-9</f>
        <v>5.6700000000000005E-9</v>
      </c>
      <c r="G15" s="158">
        <v>6.1999999999999998E-3</v>
      </c>
      <c r="H15" s="158">
        <v>1.5200000000000001E-4</v>
      </c>
      <c r="I15" s="154">
        <f>3.26*10^-5</f>
        <v>3.26E-5</v>
      </c>
      <c r="J15" s="154">
        <f>4.96*10^-6</f>
        <v>4.9599999999999999E-6</v>
      </c>
      <c r="K15" s="158"/>
      <c r="L15" s="153" t="s">
        <v>164</v>
      </c>
    </row>
    <row r="16" spans="1:12" ht="15" customHeight="1" x14ac:dyDescent="0.3">
      <c r="A16" s="156">
        <v>14</v>
      </c>
      <c r="B16" s="164" t="s">
        <v>165</v>
      </c>
      <c r="C16" s="154">
        <f>4.07*10^-7</f>
        <v>4.0700000000000003E-7</v>
      </c>
      <c r="D16" s="159">
        <v>0.61499999999999999</v>
      </c>
      <c r="E16" s="158">
        <v>7.7899999999999997E-2</v>
      </c>
      <c r="F16" s="154">
        <f>6.41*10^-9</f>
        <v>6.4100000000000008E-9</v>
      </c>
      <c r="G16" s="158">
        <v>5.0500000000000003E-2</v>
      </c>
      <c r="H16" s="158">
        <v>2.3599999999999999E-4</v>
      </c>
      <c r="I16" s="158">
        <v>2.6499999999999999E-4</v>
      </c>
      <c r="J16" s="158">
        <v>2.2100000000000001E-4</v>
      </c>
      <c r="K16" s="158"/>
      <c r="L16" s="153" t="s">
        <v>166</v>
      </c>
    </row>
    <row r="17" spans="1:12" ht="15" customHeight="1" x14ac:dyDescent="0.3">
      <c r="A17" s="156">
        <v>15</v>
      </c>
      <c r="B17" s="164" t="s">
        <v>167</v>
      </c>
      <c r="C17" s="154">
        <f>1.78*10^-7</f>
        <v>1.7800000000000001E-7</v>
      </c>
      <c r="D17" s="159">
        <v>0.9</v>
      </c>
      <c r="E17" s="158">
        <v>6.5600000000000006E-2</v>
      </c>
      <c r="F17" s="154">
        <f>8.01*10^-9</f>
        <v>8.0100000000000003E-9</v>
      </c>
      <c r="G17" s="158">
        <v>5.0200000000000002E-2</v>
      </c>
      <c r="H17" s="158">
        <v>3.4499999999999998E-4</v>
      </c>
      <c r="I17" s="158">
        <v>1.07E-4</v>
      </c>
      <c r="J17" s="154">
        <f>1.29*10^-5</f>
        <v>1.2900000000000002E-5</v>
      </c>
      <c r="K17" s="158"/>
      <c r="L17" s="153" t="s">
        <v>168</v>
      </c>
    </row>
    <row r="18" spans="1:12" ht="14.5" x14ac:dyDescent="0.35">
      <c r="A18" s="156">
        <v>16</v>
      </c>
      <c r="B18" s="153" t="s">
        <v>63</v>
      </c>
      <c r="C18" s="157">
        <f>0.00817</f>
        <v>8.1700000000000002E-3</v>
      </c>
      <c r="D18" s="165">
        <f>1.07*10^-4</f>
        <v>1.0700000000000001E-4</v>
      </c>
      <c r="E18" s="156">
        <v>999</v>
      </c>
      <c r="F18" s="166">
        <f>5.84*10^-5</f>
        <v>5.8400000000000003E-5</v>
      </c>
      <c r="G18" s="166">
        <f>1.31*10^-3</f>
        <v>1.3100000000000002E-3</v>
      </c>
      <c r="H18" s="156">
        <v>3.65</v>
      </c>
      <c r="I18" s="156">
        <v>2.0699999999999998</v>
      </c>
      <c r="J18" s="156">
        <v>0.33200000000000002</v>
      </c>
      <c r="K18" s="161"/>
      <c r="L18" s="153" t="s">
        <v>169</v>
      </c>
    </row>
    <row r="19" spans="1:12" ht="14.5" x14ac:dyDescent="0.35">
      <c r="A19" s="156">
        <v>17</v>
      </c>
      <c r="B19" s="153" t="s">
        <v>170</v>
      </c>
      <c r="C19" s="157">
        <f>1.11*10^-8</f>
        <v>1.1100000000000002E-8</v>
      </c>
      <c r="D19" s="159">
        <v>4.5199999999999997E-2</v>
      </c>
      <c r="E19" s="156">
        <v>3.1099999999999999E-3</v>
      </c>
      <c r="F19" s="157">
        <f>5.16*10^-10</f>
        <v>5.1600000000000008E-10</v>
      </c>
      <c r="G19" s="158">
        <v>1.2800000000000001E-3</v>
      </c>
      <c r="H19" s="157">
        <f>1.51*10^-5</f>
        <v>1.5100000000000001E-5</v>
      </c>
      <c r="I19" s="157">
        <f>3.75*10^-6</f>
        <v>3.7499999999999997E-6</v>
      </c>
      <c r="J19" s="157">
        <f>4.75*10^-7</f>
        <v>4.75E-7</v>
      </c>
      <c r="K19" s="161"/>
      <c r="L19" s="153" t="s">
        <v>171</v>
      </c>
    </row>
    <row r="20" spans="1:12" ht="14.5" x14ac:dyDescent="0.35">
      <c r="A20" s="156">
        <v>18</v>
      </c>
      <c r="B20" s="167" t="s">
        <v>172</v>
      </c>
      <c r="C20" s="168">
        <f>5.64*10^-8</f>
        <v>5.6399999999999995E-8</v>
      </c>
      <c r="D20" s="169">
        <v>0.32900000000000001</v>
      </c>
      <c r="E20" s="170">
        <v>4.82E-2</v>
      </c>
      <c r="F20" s="168">
        <f>2.25*10^-9</f>
        <v>2.2500000000000003E-9</v>
      </c>
      <c r="G20" s="171">
        <v>1.54E-2</v>
      </c>
      <c r="H20" s="171">
        <v>2.5900000000000001E-4</v>
      </c>
      <c r="I20" s="171">
        <v>4.2200000000000001E-4</v>
      </c>
      <c r="J20" s="168">
        <f>8.73*10^-6</f>
        <v>8.7299999999999994E-6</v>
      </c>
      <c r="K20" s="172"/>
      <c r="L20" s="167" t="s">
        <v>173</v>
      </c>
    </row>
    <row r="21" spans="1:12" ht="15" customHeight="1" x14ac:dyDescent="0.3">
      <c r="A21" s="170">
        <v>19</v>
      </c>
      <c r="B21" s="173" t="s">
        <v>24</v>
      </c>
      <c r="C21" s="174">
        <f>8.49*10^-6</f>
        <v>8.49E-6</v>
      </c>
      <c r="D21" s="169">
        <v>1.92</v>
      </c>
      <c r="E21" s="169">
        <v>0.82899999999999996</v>
      </c>
      <c r="F21" s="174">
        <f>1.55*10^-8</f>
        <v>1.55E-8</v>
      </c>
      <c r="G21" s="175">
        <v>0.80900000000000005</v>
      </c>
      <c r="H21" s="171">
        <v>3.6900000000000002E-2</v>
      </c>
      <c r="I21" s="171">
        <v>2.7099999999999997E-4</v>
      </c>
      <c r="J21" s="171">
        <v>1.48E-3</v>
      </c>
      <c r="K21" s="171"/>
      <c r="L21" s="167" t="s">
        <v>174</v>
      </c>
    </row>
    <row r="22" spans="1:12" ht="15" customHeight="1" x14ac:dyDescent="0.3">
      <c r="A22" s="170">
        <v>20</v>
      </c>
      <c r="B22" s="173" t="s">
        <v>29</v>
      </c>
      <c r="C22" s="174">
        <f>5.97*10^-6</f>
        <v>5.9699999999999996E-6</v>
      </c>
      <c r="D22" s="169">
        <v>13.6</v>
      </c>
      <c r="E22" s="169">
        <v>1.22</v>
      </c>
      <c r="F22" s="174">
        <f>5.14*10^-8</f>
        <v>5.1399999999999997E-8</v>
      </c>
      <c r="G22" s="175">
        <v>0.49099999999999999</v>
      </c>
      <c r="H22" s="171">
        <v>8.77E-3</v>
      </c>
      <c r="I22" s="171">
        <v>2.2200000000000002E-3</v>
      </c>
      <c r="J22" s="171">
        <v>2.6800000000000001E-4</v>
      </c>
      <c r="K22" s="171"/>
      <c r="L22" s="167" t="s">
        <v>175</v>
      </c>
    </row>
    <row r="23" spans="1:12" ht="15" customHeight="1" x14ac:dyDescent="0.3">
      <c r="A23" s="170">
        <v>21</v>
      </c>
      <c r="B23" s="167" t="s">
        <v>31</v>
      </c>
      <c r="C23" s="174">
        <f>1.4*10^-5</f>
        <v>1.4E-5</v>
      </c>
      <c r="D23" s="169">
        <v>6.84</v>
      </c>
      <c r="E23" s="169">
        <v>0.85299999999999998</v>
      </c>
      <c r="F23" s="174">
        <f>2.27*10^-8</f>
        <v>2.2700000000000001E-8</v>
      </c>
      <c r="G23" s="175">
        <v>1.45</v>
      </c>
      <c r="H23" s="171">
        <v>2.2899999999999999E-3</v>
      </c>
      <c r="I23" s="171">
        <v>9.4300000000000004E-4</v>
      </c>
      <c r="J23" s="171">
        <v>1.6699999999999999E-4</v>
      </c>
      <c r="K23" s="171"/>
      <c r="L23" s="167" t="s">
        <v>151</v>
      </c>
    </row>
    <row r="24" spans="1:12" ht="15" customHeight="1" x14ac:dyDescent="0.3">
      <c r="A24" s="170">
        <v>22</v>
      </c>
      <c r="B24" s="173" t="s">
        <v>176</v>
      </c>
      <c r="C24" s="174">
        <f>2.78*10^-8</f>
        <v>2.7799999999999997E-8</v>
      </c>
      <c r="D24" s="169">
        <v>0.121</v>
      </c>
      <c r="E24" s="169">
        <v>0.59699999999999998</v>
      </c>
      <c r="F24" s="174">
        <f>1.39*10^-9</f>
        <v>1.39E-9</v>
      </c>
      <c r="G24" s="175">
        <v>0.88900000000000001</v>
      </c>
      <c r="H24" s="171">
        <v>5.4699999999999996E-4</v>
      </c>
      <c r="I24" s="171">
        <v>1.1900000000000001E-2</v>
      </c>
      <c r="J24" s="171">
        <v>2.5300000000000002E-4</v>
      </c>
      <c r="K24" s="171"/>
      <c r="L24" s="167" t="s">
        <v>177</v>
      </c>
    </row>
    <row r="25" spans="1:12" ht="14.5" x14ac:dyDescent="0.35">
      <c r="A25" s="176">
        <v>23</v>
      </c>
      <c r="B25" s="167" t="s">
        <v>178</v>
      </c>
      <c r="C25" s="168">
        <f>1.16*10^-7</f>
        <v>1.1599999999999999E-7</v>
      </c>
      <c r="D25" s="169">
        <v>0.48899999999999999</v>
      </c>
      <c r="E25" s="169">
        <v>3.4000000000000002E-2</v>
      </c>
      <c r="F25" s="168">
        <f>5.61*10^-9</f>
        <v>5.6100000000000003E-9</v>
      </c>
      <c r="G25" s="177">
        <f>0.0138</f>
        <v>1.38E-2</v>
      </c>
      <c r="H25" s="171">
        <v>2.0900000000000001E-4</v>
      </c>
      <c r="I25" s="174">
        <f>4.5*10^-5</f>
        <v>4.5000000000000003E-5</v>
      </c>
      <c r="J25" s="174">
        <f>6.18*10^-6</f>
        <v>6.1799999999999993E-6</v>
      </c>
      <c r="K25" s="178"/>
      <c r="L25" s="167" t="s">
        <v>179</v>
      </c>
    </row>
    <row r="26" spans="1:12" ht="14.5" x14ac:dyDescent="0.35">
      <c r="A26" s="176">
        <v>24</v>
      </c>
      <c r="B26" s="167" t="s">
        <v>180</v>
      </c>
      <c r="C26" s="171">
        <v>1.24E-7</v>
      </c>
      <c r="D26" s="169">
        <v>0.54800000000000004</v>
      </c>
      <c r="E26" s="169">
        <v>0.67900000000000005</v>
      </c>
      <c r="F26" s="171">
        <v>6.2300000000000002E-9</v>
      </c>
      <c r="G26" s="175">
        <v>1.86</v>
      </c>
      <c r="H26" s="171">
        <v>3.7300000000000001E-4</v>
      </c>
      <c r="I26" s="171">
        <v>1.24E-2</v>
      </c>
      <c r="J26" s="171">
        <v>2.5799999999999998E-4</v>
      </c>
      <c r="K26" s="179"/>
      <c r="L26" s="167" t="s">
        <v>181</v>
      </c>
    </row>
    <row r="27" spans="1:12" ht="14" x14ac:dyDescent="0.3">
      <c r="A27" s="176">
        <v>25</v>
      </c>
      <c r="B27" s="153" t="s">
        <v>182</v>
      </c>
      <c r="C27" s="154">
        <f>5.57*10^-5</f>
        <v>5.5700000000000005E-5</v>
      </c>
      <c r="D27" s="159">
        <v>75.900000000000006</v>
      </c>
      <c r="E27" s="159">
        <v>8.5500000000000007</v>
      </c>
      <c r="F27" s="154">
        <f>3.93*10^-7</f>
        <v>3.9299999999999999E-7</v>
      </c>
      <c r="G27" s="155">
        <v>4.13</v>
      </c>
      <c r="H27" s="158">
        <v>7.6799999999999993E-2</v>
      </c>
      <c r="I27" s="158">
        <v>0.114</v>
      </c>
      <c r="J27" s="158">
        <v>1.2099999999999999E-3</v>
      </c>
      <c r="K27" s="158"/>
      <c r="L27" s="153" t="s">
        <v>160</v>
      </c>
    </row>
    <row r="28" spans="1:12" ht="14.5" x14ac:dyDescent="0.35">
      <c r="A28" s="176">
        <v>26</v>
      </c>
      <c r="B28" s="167" t="s">
        <v>183</v>
      </c>
      <c r="C28" s="171">
        <v>3.3100000000000001E-6</v>
      </c>
      <c r="D28" s="169">
        <v>19</v>
      </c>
      <c r="E28" s="169">
        <v>1.76</v>
      </c>
      <c r="F28" s="171">
        <v>9.3100000000000006E-8</v>
      </c>
      <c r="G28" s="175">
        <v>1.56</v>
      </c>
      <c r="H28" s="171">
        <v>6.1500000000000001E-3</v>
      </c>
      <c r="I28" s="171">
        <v>2.82E-3</v>
      </c>
      <c r="J28" s="171">
        <v>8.6499999999999999E-4</v>
      </c>
      <c r="K28" s="179"/>
      <c r="L28" s="167" t="s">
        <v>184</v>
      </c>
    </row>
    <row r="29" spans="1:12" ht="14" x14ac:dyDescent="0.3">
      <c r="A29" s="176">
        <v>27</v>
      </c>
      <c r="B29" s="153" t="s">
        <v>185</v>
      </c>
      <c r="C29" s="154">
        <f>8.78*10^-9</f>
        <v>8.7799999999999999E-9</v>
      </c>
      <c r="D29" s="159">
        <v>1.9900000000000001E-2</v>
      </c>
      <c r="E29" s="159">
        <v>1.8400000000000001E-3</v>
      </c>
      <c r="F29" s="154">
        <f>5.67*10^-11</f>
        <v>5.6699999999999995E-11</v>
      </c>
      <c r="G29" s="155">
        <v>8.9599999999999999E-4</v>
      </c>
      <c r="H29" s="154">
        <f>7.92*10^-6</f>
        <v>7.9200000000000004E-6</v>
      </c>
      <c r="I29" s="154">
        <f>3.19*10^-6</f>
        <v>3.19E-6</v>
      </c>
      <c r="J29" s="154">
        <f>3.15*10^-7</f>
        <v>3.15E-7</v>
      </c>
      <c r="K29" s="158"/>
      <c r="L29" s="153" t="s">
        <v>186</v>
      </c>
    </row>
    <row r="30" spans="1:12" ht="14.5" x14ac:dyDescent="0.35">
      <c r="A30" s="39">
        <v>28</v>
      </c>
      <c r="B30" s="167" t="s">
        <v>187</v>
      </c>
      <c r="C30" s="174">
        <v>8.4099999999999998E-5</v>
      </c>
      <c r="D30" s="39">
        <v>108</v>
      </c>
      <c r="E30" s="39">
        <v>6.33</v>
      </c>
      <c r="F30" s="174">
        <v>8.6099999999999999E-7</v>
      </c>
      <c r="G30" s="39">
        <v>5.24</v>
      </c>
      <c r="H30" s="174">
        <v>2.8899999999999999E-2</v>
      </c>
      <c r="I30" s="174">
        <v>1.18E-2</v>
      </c>
      <c r="J30" s="174">
        <v>5.1000000000000004E-3</v>
      </c>
      <c r="K30" s="180"/>
      <c r="L30" s="167" t="s">
        <v>188</v>
      </c>
    </row>
    <row r="31" spans="1:12" ht="14.5" x14ac:dyDescent="0.35">
      <c r="A31" s="39">
        <v>29</v>
      </c>
      <c r="B31" s="167" t="s">
        <v>189</v>
      </c>
      <c r="C31" s="174">
        <v>1.5699999999999999E-7</v>
      </c>
      <c r="D31" s="39">
        <v>0.67800000000000005</v>
      </c>
      <c r="E31" s="39">
        <v>0.66600000000000004</v>
      </c>
      <c r="F31" s="174">
        <v>7.2099999999999997E-9</v>
      </c>
      <c r="G31" s="39">
        <v>1.01</v>
      </c>
      <c r="H31" s="174">
        <v>4.0600000000000002E-3</v>
      </c>
      <c r="I31" s="174">
        <v>1.8800000000000001E-2</v>
      </c>
      <c r="J31" s="174">
        <v>2.5700000000000001E-4</v>
      </c>
      <c r="K31" s="180"/>
      <c r="L31" s="167" t="s">
        <v>190</v>
      </c>
    </row>
    <row r="32" spans="1:12" ht="14.5" x14ac:dyDescent="0.35">
      <c r="A32" s="39">
        <v>30</v>
      </c>
      <c r="B32" s="167" t="s">
        <v>191</v>
      </c>
      <c r="C32" s="174">
        <v>2.9899999999999998E-5</v>
      </c>
      <c r="D32" s="39">
        <v>9.99</v>
      </c>
      <c r="E32" s="39">
        <v>0.82399999999999995</v>
      </c>
      <c r="F32" s="174">
        <v>4.6800000000000002E-8</v>
      </c>
      <c r="G32" s="39">
        <v>1.75</v>
      </c>
      <c r="H32" s="39">
        <v>8.1600000000000006E-3</v>
      </c>
      <c r="I32" s="39">
        <v>1.91E-3</v>
      </c>
      <c r="J32" s="174">
        <v>3.2200000000000002E-4</v>
      </c>
      <c r="K32" s="180"/>
      <c r="L32" s="167" t="s">
        <v>192</v>
      </c>
    </row>
    <row r="33" spans="1:12" ht="14.5" x14ac:dyDescent="0.35">
      <c r="A33" s="39">
        <v>31</v>
      </c>
      <c r="B33" s="153" t="s">
        <v>193</v>
      </c>
      <c r="C33" s="154">
        <f>2.02*10^-5</f>
        <v>2.0200000000000003E-5</v>
      </c>
      <c r="D33" s="181">
        <v>60.4</v>
      </c>
      <c r="E33" s="181">
        <v>1.36</v>
      </c>
      <c r="F33" s="154">
        <f>5.98*10^-7</f>
        <v>5.9800000000000003E-7</v>
      </c>
      <c r="G33" s="182">
        <v>1.08</v>
      </c>
      <c r="H33" s="154">
        <v>8.2500000000000004E-3</v>
      </c>
      <c r="I33" s="154">
        <v>1.9400000000000001E-3</v>
      </c>
      <c r="J33" s="154">
        <v>3.9500000000000001E-4</v>
      </c>
      <c r="K33" s="183"/>
      <c r="L33" s="153" t="s">
        <v>194</v>
      </c>
    </row>
    <row r="34" spans="1:12" ht="14" x14ac:dyDescent="0.3">
      <c r="A34" s="39">
        <v>32</v>
      </c>
      <c r="B34" s="153" t="s">
        <v>195</v>
      </c>
      <c r="C34" s="154">
        <f>1.85*10^-7</f>
        <v>1.85E-7</v>
      </c>
      <c r="D34" s="181">
        <v>0.27</v>
      </c>
      <c r="E34" s="181">
        <v>2.85</v>
      </c>
      <c r="F34" s="154">
        <f>3.3*10^-9</f>
        <v>3.3000000000000002E-9</v>
      </c>
      <c r="G34" s="182">
        <v>7.3899999999999993E-2</v>
      </c>
      <c r="H34" s="154">
        <v>1.8000000000000001E-4</v>
      </c>
      <c r="I34" s="154">
        <v>8.7600000000000004E-4</v>
      </c>
      <c r="J34" s="154">
        <f>4.68*10^-6</f>
        <v>4.6799999999999992E-6</v>
      </c>
      <c r="K34" s="154"/>
      <c r="L34" s="184" t="s">
        <v>196</v>
      </c>
    </row>
  </sheetData>
  <mergeCells count="3">
    <mergeCell ref="A1:A2"/>
    <mergeCell ref="E1:K1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25"/>
  <sheetViews>
    <sheetView workbookViewId="0">
      <selection activeCell="K10" sqref="K10"/>
    </sheetView>
  </sheetViews>
  <sheetFormatPr defaultRowHeight="14" x14ac:dyDescent="0.3"/>
  <cols>
    <col min="1" max="1" width="20.58203125" customWidth="1"/>
    <col min="2" max="2" width="9.75" customWidth="1"/>
    <col min="3" max="3" width="11.83203125" customWidth="1"/>
    <col min="4" max="4" width="10.58203125" customWidth="1"/>
    <col min="5" max="7" width="11.33203125" customWidth="1"/>
    <col min="9" max="9" width="26.08203125" customWidth="1"/>
  </cols>
  <sheetData>
    <row r="1" spans="1:9" x14ac:dyDescent="0.3">
      <c r="A1" s="235" t="s">
        <v>239</v>
      </c>
      <c r="B1" s="233" t="s">
        <v>8</v>
      </c>
      <c r="C1" s="233" t="s">
        <v>240</v>
      </c>
      <c r="D1" s="234">
        <v>-0.2</v>
      </c>
      <c r="E1" s="234">
        <v>-0.1</v>
      </c>
      <c r="F1" s="234">
        <v>0.1</v>
      </c>
      <c r="G1" s="234">
        <v>0.2</v>
      </c>
      <c r="I1" s="202"/>
    </row>
    <row r="2" spans="1:9" x14ac:dyDescent="0.3">
      <c r="A2" s="248" t="s">
        <v>256</v>
      </c>
      <c r="B2" s="200" t="str">
        <f>Inventori!Q12</f>
        <v>tonSOx</v>
      </c>
      <c r="C2" s="236">
        <f>Inventori!P18</f>
        <v>172.98288624096</v>
      </c>
      <c r="D2" s="236">
        <f>C2-(C2*20%)</f>
        <v>138.38630899276799</v>
      </c>
      <c r="E2" s="236">
        <f>C2-(C2*10%)</f>
        <v>155.68459761686401</v>
      </c>
      <c r="F2" s="236">
        <f>C2+(C2*10%)</f>
        <v>190.28117486505599</v>
      </c>
      <c r="G2" s="236">
        <f>C2+(C2*20%)</f>
        <v>207.579463489152</v>
      </c>
      <c r="I2" s="237"/>
    </row>
    <row r="3" spans="1:9" x14ac:dyDescent="0.3">
      <c r="A3" s="248" t="s">
        <v>257</v>
      </c>
      <c r="B3" s="200" t="str">
        <f>Inventori!Q13</f>
        <v>tonNOx</v>
      </c>
      <c r="C3" s="236">
        <f>Inventori!P19</f>
        <v>2630.4831007171201</v>
      </c>
      <c r="D3" s="236">
        <f t="shared" ref="D3:D4" si="0">C3-(C3*20%)</f>
        <v>2104.3864805736962</v>
      </c>
      <c r="E3" s="236">
        <f t="shared" ref="E3:E4" si="1">C3-(C3*10%)</f>
        <v>2367.4347906454082</v>
      </c>
      <c r="F3" s="236">
        <f t="shared" ref="F3:F4" si="2">C3+(C3*10%)</f>
        <v>2893.5314107888321</v>
      </c>
      <c r="G3" s="236">
        <f t="shared" ref="G3:G4" si="3">C3+(C3*20%)</f>
        <v>3156.5797208605441</v>
      </c>
      <c r="I3" s="202"/>
    </row>
    <row r="4" spans="1:9" x14ac:dyDescent="0.3">
      <c r="A4" s="248" t="s">
        <v>258</v>
      </c>
      <c r="B4" s="200" t="str">
        <f>Inventori!Q14</f>
        <v>tonCO2</v>
      </c>
      <c r="C4" s="236">
        <f>Inventori!P20</f>
        <v>102807.44201519999</v>
      </c>
      <c r="D4" s="236">
        <f t="shared" si="0"/>
        <v>82245.953612159996</v>
      </c>
      <c r="E4" s="236">
        <f t="shared" si="1"/>
        <v>92526.697813679988</v>
      </c>
      <c r="F4" s="236">
        <f t="shared" si="2"/>
        <v>113088.18621672</v>
      </c>
      <c r="G4" s="236">
        <f t="shared" si="3"/>
        <v>123368.93041823999</v>
      </c>
      <c r="I4" s="202"/>
    </row>
    <row r="5" spans="1:9" x14ac:dyDescent="0.3">
      <c r="I5" s="202"/>
    </row>
    <row r="6" spans="1:9" ht="14.5" x14ac:dyDescent="0.35">
      <c r="A6" s="238" t="s">
        <v>241</v>
      </c>
      <c r="B6" s="239" t="s">
        <v>240</v>
      </c>
      <c r="C6" s="240">
        <v>-0.2</v>
      </c>
      <c r="D6" s="240">
        <v>-0.1</v>
      </c>
      <c r="E6" s="240">
        <v>0.1</v>
      </c>
      <c r="F6" s="240">
        <v>0.2</v>
      </c>
      <c r="I6" s="237"/>
    </row>
    <row r="7" spans="1:9" ht="14.5" x14ac:dyDescent="0.35">
      <c r="A7" s="241" t="s">
        <v>197</v>
      </c>
      <c r="B7" s="242">
        <f>I10</f>
        <v>48.78951603215998</v>
      </c>
      <c r="C7" s="242">
        <v>30.431821285000449</v>
      </c>
      <c r="D7" s="242">
        <v>32.90108316796281</v>
      </c>
      <c r="E7" s="242">
        <v>37.839606933887538</v>
      </c>
      <c r="F7" s="242">
        <v>40.308868816849895</v>
      </c>
      <c r="I7" s="202"/>
    </row>
    <row r="8" spans="1:9" x14ac:dyDescent="0.3">
      <c r="A8" s="243" t="s">
        <v>242</v>
      </c>
      <c r="B8" s="243"/>
      <c r="C8" s="244">
        <f>(C7-$B$7)/$B$7*100</f>
        <v>-37.626310404593724</v>
      </c>
      <c r="D8" s="244">
        <f t="shared" ref="D8:F8" si="4">(D7-$B$7)/$B$7*100</f>
        <v>-32.565260236900464</v>
      </c>
      <c r="E8" s="244">
        <f t="shared" si="4"/>
        <v>-22.443159901513937</v>
      </c>
      <c r="F8" s="244">
        <f t="shared" si="4"/>
        <v>-17.382109733820688</v>
      </c>
      <c r="I8" s="202"/>
    </row>
    <row r="9" spans="1:9" ht="14.5" x14ac:dyDescent="0.35">
      <c r="A9" s="241" t="s">
        <v>198</v>
      </c>
      <c r="B9" s="242">
        <f>I14</f>
        <v>9.1205811129395481E-6</v>
      </c>
      <c r="C9" s="242">
        <v>7.8913987156724011E-6</v>
      </c>
      <c r="D9" s="242">
        <v>7.9584305436347701E-6</v>
      </c>
      <c r="E9" s="242">
        <v>8.0924941995595117E-6</v>
      </c>
      <c r="F9" s="242">
        <v>8.1595260275218825E-6</v>
      </c>
      <c r="I9" s="202" t="str">
        <f>GWP!B51</f>
        <v>TOTAL GWP</v>
      </c>
    </row>
    <row r="10" spans="1:9" x14ac:dyDescent="0.3">
      <c r="A10" s="243" t="s">
        <v>242</v>
      </c>
      <c r="B10" s="243"/>
      <c r="C10" s="244">
        <f>(C9-$B$9)/$B$9*100</f>
        <v>-13.477018427293869</v>
      </c>
      <c r="D10" s="244">
        <f t="shared" ref="D10:F10" si="5">(D9-$B$9)/$B$9*100</f>
        <v>-12.742067143682457</v>
      </c>
      <c r="E10" s="244">
        <f t="shared" si="5"/>
        <v>-11.2721645764596</v>
      </c>
      <c r="F10" s="244">
        <f t="shared" si="5"/>
        <v>-10.53721329284817</v>
      </c>
      <c r="I10" s="237">
        <f>GWP!B52</f>
        <v>48.78951603215998</v>
      </c>
    </row>
    <row r="11" spans="1:9" ht="14.5" x14ac:dyDescent="0.35">
      <c r="A11" s="241" t="s">
        <v>243</v>
      </c>
      <c r="B11" s="242">
        <f>I16</f>
        <v>0.24669677202840634</v>
      </c>
      <c r="C11" s="242">
        <v>0.13053621567409257</v>
      </c>
      <c r="D11" s="242">
        <v>0.13771996931430286</v>
      </c>
      <c r="E11" s="242">
        <v>0.15208747659472344</v>
      </c>
      <c r="F11" s="242">
        <v>0.15927123023493367</v>
      </c>
      <c r="I11" s="202" t="str">
        <f>GWP!B53</f>
        <v>kgCO2eq/ton</v>
      </c>
    </row>
    <row r="12" spans="1:9" x14ac:dyDescent="0.3">
      <c r="A12" s="243" t="s">
        <v>242</v>
      </c>
      <c r="B12" s="243"/>
      <c r="C12" s="244">
        <f>(C11-$B$11)/$B$11*100</f>
        <v>-47.086370607613084</v>
      </c>
      <c r="D12" s="244">
        <f t="shared" ref="D12:E12" si="6">(D11-$B$11)/$B$11*100</f>
        <v>-44.174393453982916</v>
      </c>
      <c r="E12" s="244">
        <f t="shared" si="6"/>
        <v>-38.350439146722579</v>
      </c>
      <c r="F12" s="244">
        <f>(F11-$B$11)/$B$11*100</f>
        <v>-35.438461993092432</v>
      </c>
      <c r="I12" s="202"/>
    </row>
    <row r="13" spans="1:9" ht="14.5" x14ac:dyDescent="0.35">
      <c r="A13" s="241" t="s">
        <v>244</v>
      </c>
      <c r="B13" s="242">
        <f>I20</f>
        <v>0.37510242775990826</v>
      </c>
      <c r="C13" s="242">
        <v>3.542073343325032E-2</v>
      </c>
      <c r="D13" s="242">
        <v>3.8209656189772831E-2</v>
      </c>
      <c r="E13" s="242">
        <v>4.3787501702817824E-2</v>
      </c>
      <c r="F13" s="242">
        <v>4.6576424459340321E-2</v>
      </c>
      <c r="I13" s="202" t="str">
        <f>ODP!B51</f>
        <v>TOTAL ODP</v>
      </c>
    </row>
    <row r="14" spans="1:9" x14ac:dyDescent="0.3">
      <c r="A14" s="243" t="s">
        <v>242</v>
      </c>
      <c r="B14" s="243"/>
      <c r="C14" s="244">
        <f>(C13-$B$13)/$B$13*100</f>
        <v>-90.557050338281982</v>
      </c>
      <c r="D14" s="244">
        <f t="shared" ref="D14:F14" si="7">(D13-$B$13)/$B$13*100</f>
        <v>-89.813540685951068</v>
      </c>
      <c r="E14" s="244">
        <f t="shared" si="7"/>
        <v>-88.326521381289254</v>
      </c>
      <c r="F14" s="244">
        <f t="shared" si="7"/>
        <v>-87.58301172895834</v>
      </c>
      <c r="I14" s="237">
        <f>ODP!B52</f>
        <v>9.1205811129395481E-6</v>
      </c>
    </row>
    <row r="15" spans="1:9" ht="14.5" x14ac:dyDescent="0.35">
      <c r="A15" s="241"/>
      <c r="B15" s="242"/>
      <c r="C15" s="242"/>
      <c r="D15" s="242"/>
      <c r="E15" s="242"/>
      <c r="F15" s="242"/>
      <c r="I15" s="202" t="str">
        <f>AP!B51</f>
        <v>TOTAL AP</v>
      </c>
    </row>
    <row r="16" spans="1:9" x14ac:dyDescent="0.3">
      <c r="A16" s="243"/>
      <c r="B16" s="243"/>
      <c r="C16" s="244"/>
      <c r="D16" s="244"/>
      <c r="E16" s="244"/>
      <c r="F16" s="244"/>
      <c r="I16" s="237">
        <f>AP!B52</f>
        <v>0.24669677202840634</v>
      </c>
    </row>
    <row r="17" spans="9:9" x14ac:dyDescent="0.3">
      <c r="I17" s="202" t="str">
        <f>AP!B53</f>
        <v>kgSO2eq/ton</v>
      </c>
    </row>
    <row r="18" spans="9:9" x14ac:dyDescent="0.3">
      <c r="I18" s="202"/>
    </row>
    <row r="19" spans="9:9" x14ac:dyDescent="0.3">
      <c r="I19" s="202" t="str">
        <f>EP!B51</f>
        <v>TOTAL EP</v>
      </c>
    </row>
    <row r="20" spans="9:9" x14ac:dyDescent="0.3">
      <c r="I20" s="237">
        <f>EP!B52</f>
        <v>0.37510242775990826</v>
      </c>
    </row>
    <row r="21" spans="9:9" x14ac:dyDescent="0.3">
      <c r="I21" s="202" t="str">
        <f>EP!B53</f>
        <v>kgPO4eq/ton</v>
      </c>
    </row>
    <row r="22" spans="9:9" x14ac:dyDescent="0.3">
      <c r="I22" s="202"/>
    </row>
    <row r="23" spans="9:9" x14ac:dyDescent="0.3">
      <c r="I23" s="202"/>
    </row>
    <row r="24" spans="9:9" x14ac:dyDescent="0.3">
      <c r="I24" s="237"/>
    </row>
    <row r="25" spans="9:9" x14ac:dyDescent="0.3">
      <c r="I25" s="20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18"/>
  <sheetViews>
    <sheetView zoomScale="85" zoomScaleNormal="85" workbookViewId="0">
      <selection activeCell="E11" sqref="E11"/>
    </sheetView>
  </sheetViews>
  <sheetFormatPr defaultRowHeight="14" x14ac:dyDescent="0.3"/>
  <cols>
    <col min="1" max="1" width="15.25" customWidth="1"/>
    <col min="2" max="2" width="12.58203125" customWidth="1"/>
    <col min="3" max="3" width="20.25" customWidth="1"/>
    <col min="4" max="4" width="23.33203125" customWidth="1"/>
    <col min="5" max="5" width="11.58203125" customWidth="1"/>
    <col min="6" max="6" width="8.58203125" customWidth="1"/>
    <col min="7" max="7" width="10.58203125" customWidth="1"/>
    <col min="8" max="8" width="7.58203125" customWidth="1"/>
    <col min="9" max="9" width="24.83203125" customWidth="1"/>
    <col min="10" max="10" width="13.08203125" customWidth="1"/>
    <col min="11" max="11" width="8.5" customWidth="1"/>
  </cols>
  <sheetData>
    <row r="1" spans="1:11" x14ac:dyDescent="0.3">
      <c r="A1" s="315" t="s">
        <v>227</v>
      </c>
      <c r="B1" s="318" t="s">
        <v>228</v>
      </c>
      <c r="C1" s="319"/>
      <c r="D1" s="320"/>
      <c r="E1" s="321" t="s">
        <v>229</v>
      </c>
      <c r="F1" s="322"/>
      <c r="G1" s="322"/>
      <c r="H1" s="322"/>
      <c r="I1" s="323"/>
      <c r="J1" s="324" t="s">
        <v>230</v>
      </c>
      <c r="K1" s="325"/>
    </row>
    <row r="2" spans="1:11" x14ac:dyDescent="0.3">
      <c r="A2" s="316"/>
      <c r="B2" s="326" t="s">
        <v>231</v>
      </c>
      <c r="C2" s="326" t="s">
        <v>232</v>
      </c>
      <c r="D2" s="326" t="s">
        <v>233</v>
      </c>
      <c r="E2" s="321" t="s">
        <v>234</v>
      </c>
      <c r="F2" s="323"/>
      <c r="G2" s="321" t="s">
        <v>235</v>
      </c>
      <c r="H2" s="323"/>
      <c r="I2" s="328" t="s">
        <v>236</v>
      </c>
      <c r="J2" s="313" t="s">
        <v>7</v>
      </c>
      <c r="K2" s="313" t="s">
        <v>237</v>
      </c>
    </row>
    <row r="3" spans="1:11" x14ac:dyDescent="0.3">
      <c r="A3" s="317"/>
      <c r="B3" s="327"/>
      <c r="C3" s="327"/>
      <c r="D3" s="327"/>
      <c r="E3" s="263" t="s">
        <v>7</v>
      </c>
      <c r="F3" s="263" t="s">
        <v>237</v>
      </c>
      <c r="G3" s="263" t="s">
        <v>238</v>
      </c>
      <c r="H3" s="263" t="s">
        <v>237</v>
      </c>
      <c r="I3" s="329"/>
      <c r="J3" s="314"/>
      <c r="K3" s="314"/>
    </row>
    <row r="4" spans="1:11" x14ac:dyDescent="0.3">
      <c r="A4" s="310" t="s">
        <v>271</v>
      </c>
      <c r="B4" s="311"/>
      <c r="C4" s="311"/>
      <c r="D4" s="311"/>
      <c r="E4" s="311"/>
      <c r="F4" s="311"/>
      <c r="G4" s="311"/>
      <c r="H4" s="311"/>
      <c r="I4" s="311"/>
      <c r="J4" s="311"/>
      <c r="K4" s="312"/>
    </row>
    <row r="5" spans="1:11" x14ac:dyDescent="0.3">
      <c r="A5" s="248" t="s">
        <v>6</v>
      </c>
      <c r="B5" s="203">
        <v>1</v>
      </c>
      <c r="C5" s="203">
        <v>0</v>
      </c>
      <c r="D5" s="203">
        <v>0</v>
      </c>
      <c r="E5" s="200">
        <v>1</v>
      </c>
      <c r="F5" s="203">
        <v>1</v>
      </c>
      <c r="G5" s="200">
        <v>0</v>
      </c>
      <c r="H5" s="214">
        <v>0</v>
      </c>
      <c r="I5" s="254" t="s">
        <v>259</v>
      </c>
      <c r="J5" s="199">
        <v>0</v>
      </c>
      <c r="K5" s="249">
        <v>0</v>
      </c>
    </row>
    <row r="6" spans="1:11" x14ac:dyDescent="0.3">
      <c r="A6" s="248" t="s">
        <v>250</v>
      </c>
      <c r="B6" s="203">
        <v>1</v>
      </c>
      <c r="C6" s="203">
        <v>0</v>
      </c>
      <c r="D6" s="203">
        <v>0</v>
      </c>
      <c r="E6" s="200">
        <v>3</v>
      </c>
      <c r="F6" s="203">
        <v>1</v>
      </c>
      <c r="G6" s="200">
        <v>0</v>
      </c>
      <c r="H6" s="214">
        <v>0</v>
      </c>
      <c r="I6" s="254" t="s">
        <v>259</v>
      </c>
      <c r="J6" s="199">
        <v>0</v>
      </c>
      <c r="K6" s="249">
        <v>0</v>
      </c>
    </row>
    <row r="7" spans="1:11" x14ac:dyDescent="0.3">
      <c r="A7" s="248" t="s">
        <v>253</v>
      </c>
      <c r="B7" s="203">
        <v>1</v>
      </c>
      <c r="C7" s="203">
        <v>0</v>
      </c>
      <c r="D7" s="203">
        <v>0</v>
      </c>
      <c r="E7" s="200">
        <v>1</v>
      </c>
      <c r="F7" s="203">
        <v>1</v>
      </c>
      <c r="G7" s="200">
        <v>0</v>
      </c>
      <c r="H7" s="214">
        <v>0</v>
      </c>
      <c r="I7" s="254" t="s">
        <v>259</v>
      </c>
      <c r="J7" s="199">
        <v>0</v>
      </c>
      <c r="K7" s="249">
        <v>0</v>
      </c>
    </row>
    <row r="8" spans="1:11" x14ac:dyDescent="0.3">
      <c r="A8" s="248" t="s">
        <v>251</v>
      </c>
      <c r="B8" s="203">
        <v>1</v>
      </c>
      <c r="C8" s="203">
        <v>0</v>
      </c>
      <c r="D8" s="203">
        <v>0</v>
      </c>
      <c r="E8" s="200">
        <v>0</v>
      </c>
      <c r="F8" s="203">
        <v>0</v>
      </c>
      <c r="G8" s="200">
        <v>9</v>
      </c>
      <c r="H8" s="214">
        <v>1</v>
      </c>
      <c r="I8" s="254" t="s">
        <v>259</v>
      </c>
      <c r="J8" s="199">
        <v>0</v>
      </c>
      <c r="K8" s="249">
        <v>0</v>
      </c>
    </row>
    <row r="9" spans="1:11" x14ac:dyDescent="0.3">
      <c r="A9" s="252" t="s">
        <v>255</v>
      </c>
      <c r="B9" s="253">
        <f>AVERAGE(B5:B8)</f>
        <v>1</v>
      </c>
      <c r="C9" s="253">
        <f>AVERAGE(C5:C8)</f>
        <v>0</v>
      </c>
      <c r="D9" s="253">
        <f>AVERAGE(D5:D8)</f>
        <v>0</v>
      </c>
      <c r="E9" s="200">
        <f>SUM(E5:E8)</f>
        <v>5</v>
      </c>
      <c r="F9" s="203">
        <f>5/14</f>
        <v>0.35714285714285715</v>
      </c>
      <c r="G9" s="200">
        <f>SUM(,G5:G8)</f>
        <v>9</v>
      </c>
      <c r="H9" s="214">
        <f>9/14</f>
        <v>0.6428571428571429</v>
      </c>
      <c r="I9" s="196"/>
      <c r="J9" s="199">
        <v>0</v>
      </c>
      <c r="K9" s="249">
        <v>0</v>
      </c>
    </row>
    <row r="13" spans="1:11" s="245" customFormat="1" x14ac:dyDescent="0.3">
      <c r="A13"/>
      <c r="B13"/>
      <c r="C13"/>
      <c r="D13"/>
      <c r="E13"/>
      <c r="F13"/>
      <c r="G13"/>
      <c r="H13"/>
      <c r="I13"/>
      <c r="J13"/>
      <c r="K13"/>
    </row>
    <row r="14" spans="1:11" s="245" customFormat="1" x14ac:dyDescent="0.3">
      <c r="A14"/>
      <c r="B14"/>
      <c r="C14"/>
      <c r="D14"/>
      <c r="E14"/>
      <c r="F14"/>
      <c r="G14"/>
      <c r="H14"/>
      <c r="I14"/>
      <c r="J14"/>
      <c r="K14"/>
    </row>
    <row r="15" spans="1:11" s="245" customFormat="1" x14ac:dyDescent="0.3">
      <c r="A15"/>
      <c r="B15"/>
      <c r="C15"/>
      <c r="D15"/>
      <c r="E15"/>
      <c r="F15"/>
      <c r="G15"/>
      <c r="H15"/>
      <c r="I15"/>
      <c r="J15"/>
      <c r="K15"/>
    </row>
    <row r="16" spans="1:11" s="245" customFormat="1" x14ac:dyDescent="0.3">
      <c r="A16"/>
      <c r="B16"/>
      <c r="C16"/>
      <c r="D16"/>
      <c r="E16"/>
      <c r="F16"/>
      <c r="G16"/>
      <c r="H16"/>
      <c r="I16"/>
      <c r="J16"/>
      <c r="K16"/>
    </row>
    <row r="17" spans="1:11" s="247" customFormat="1" x14ac:dyDescent="0.3">
      <c r="A17"/>
      <c r="B17"/>
      <c r="C17"/>
      <c r="D17"/>
      <c r="E17"/>
      <c r="F17"/>
      <c r="G17"/>
      <c r="H17"/>
      <c r="I17"/>
      <c r="J17"/>
      <c r="K17"/>
    </row>
    <row r="18" spans="1:11" s="247" customFormat="1" x14ac:dyDescent="0.3">
      <c r="A18"/>
      <c r="B18"/>
      <c r="C18"/>
      <c r="D18"/>
      <c r="E18"/>
      <c r="F18"/>
      <c r="G18"/>
      <c r="H18"/>
      <c r="I18"/>
      <c r="J18"/>
      <c r="K18"/>
    </row>
  </sheetData>
  <mergeCells count="13">
    <mergeCell ref="A4:K4"/>
    <mergeCell ref="J2:J3"/>
    <mergeCell ref="K2:K3"/>
    <mergeCell ref="A1:A3"/>
    <mergeCell ref="B1:D1"/>
    <mergeCell ref="E1:I1"/>
    <mergeCell ref="J1:K1"/>
    <mergeCell ref="B2:B3"/>
    <mergeCell ref="C2:C3"/>
    <mergeCell ref="D2:D3"/>
    <mergeCell ref="E2:F2"/>
    <mergeCell ref="G2:H2"/>
    <mergeCell ref="I2:I3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G22"/>
  <sheetViews>
    <sheetView topLeftCell="A6" workbookViewId="0">
      <selection activeCell="C14" sqref="C14:C16"/>
    </sheetView>
  </sheetViews>
  <sheetFormatPr defaultRowHeight="14" x14ac:dyDescent="0.3"/>
  <cols>
    <col min="1" max="1" width="5.83203125" customWidth="1"/>
    <col min="2" max="2" width="26.83203125" customWidth="1"/>
    <col min="3" max="3" width="11.83203125" customWidth="1"/>
    <col min="4" max="4" width="26.58203125" customWidth="1"/>
    <col min="5" max="5" width="11" customWidth="1"/>
    <col min="6" max="6" width="24.83203125" customWidth="1"/>
    <col min="7" max="7" width="11.08203125" customWidth="1"/>
  </cols>
  <sheetData>
    <row r="1" spans="1:7" x14ac:dyDescent="0.3">
      <c r="A1" s="345" t="s">
        <v>0</v>
      </c>
      <c r="B1" s="345" t="s">
        <v>218</v>
      </c>
      <c r="C1" s="345" t="s">
        <v>213</v>
      </c>
      <c r="D1" s="345" t="s">
        <v>214</v>
      </c>
      <c r="E1" s="345"/>
      <c r="F1" s="344" t="s">
        <v>215</v>
      </c>
      <c r="G1" s="344"/>
    </row>
    <row r="2" spans="1:7" ht="56" x14ac:dyDescent="0.3">
      <c r="A2" s="345"/>
      <c r="B2" s="345"/>
      <c r="C2" s="345"/>
      <c r="D2" s="226" t="s">
        <v>216</v>
      </c>
      <c r="E2" s="226" t="s">
        <v>217</v>
      </c>
      <c r="F2" s="226" t="s">
        <v>216</v>
      </c>
      <c r="G2" s="226" t="s">
        <v>217</v>
      </c>
    </row>
    <row r="3" spans="1:7" ht="16" customHeight="1" x14ac:dyDescent="0.3">
      <c r="A3" s="333">
        <v>1</v>
      </c>
      <c r="B3" s="330" t="s">
        <v>219</v>
      </c>
      <c r="C3" s="333" t="s">
        <v>220</v>
      </c>
      <c r="D3" s="201" t="str">
        <f>GWP!I80</f>
        <v>Emisi CO2 - Material Removal</v>
      </c>
      <c r="E3" s="203">
        <f>GWP!H80</f>
        <v>0.67241002113676196</v>
      </c>
      <c r="F3" s="214" t="str">
        <f>'UT GWP'!I44</f>
        <v>Solar - Utility Mining</v>
      </c>
      <c r="G3" s="203">
        <f>'UT GWP'!H44</f>
        <v>0.96848387201034136</v>
      </c>
    </row>
    <row r="4" spans="1:7" s="186" customFormat="1" x14ac:dyDescent="0.3">
      <c r="A4" s="334"/>
      <c r="B4" s="331"/>
      <c r="C4" s="334"/>
      <c r="D4" s="230" t="str">
        <f>GWP!I60</f>
        <v>Solar - Material Removal</v>
      </c>
      <c r="E4" s="203">
        <f>GWP!H60</f>
        <v>0.12456115393737394</v>
      </c>
      <c r="F4" s="230"/>
      <c r="G4" s="203"/>
    </row>
    <row r="5" spans="1:7" s="186" customFormat="1" x14ac:dyDescent="0.3">
      <c r="A5" s="335"/>
      <c r="B5" s="332"/>
      <c r="C5" s="335"/>
      <c r="D5" s="201" t="str">
        <f>GWP!I89</f>
        <v>Emisi CO2 - Coal Crushing</v>
      </c>
      <c r="E5" s="203">
        <f>GWP!H89</f>
        <v>6.920829099572294E-2</v>
      </c>
      <c r="F5" s="230"/>
      <c r="G5" s="200"/>
    </row>
    <row r="6" spans="1:7" x14ac:dyDescent="0.3">
      <c r="A6" s="336">
        <v>2</v>
      </c>
      <c r="B6" s="337" t="s">
        <v>221</v>
      </c>
      <c r="C6" s="336" t="s">
        <v>222</v>
      </c>
      <c r="D6" s="211" t="str">
        <f>ODP!I60</f>
        <v>Solar - Material Removal</v>
      </c>
      <c r="E6" s="213">
        <f>ODP!H60</f>
        <v>0.73922399891124912</v>
      </c>
      <c r="F6" s="231" t="str">
        <f>'UT ODP'!I44</f>
        <v>Solar - Utility Mining</v>
      </c>
      <c r="G6" s="213">
        <f>'UT ODP'!H44</f>
        <v>0.99008152857051945</v>
      </c>
    </row>
    <row r="7" spans="1:7" x14ac:dyDescent="0.3">
      <c r="A7" s="336"/>
      <c r="B7" s="337"/>
      <c r="C7" s="336"/>
      <c r="D7" s="211" t="str">
        <f>ODP!I80</f>
        <v>Emisi CO2 - Material Removal</v>
      </c>
      <c r="E7" s="213">
        <f>ODP!H80</f>
        <v>7.8864260793782962E-2</v>
      </c>
      <c r="F7" s="231"/>
      <c r="G7" s="212"/>
    </row>
    <row r="8" spans="1:7" ht="14.15" customHeight="1" x14ac:dyDescent="0.3">
      <c r="A8" s="333">
        <v>3</v>
      </c>
      <c r="B8" s="330" t="s">
        <v>223</v>
      </c>
      <c r="C8" s="333" t="s">
        <v>224</v>
      </c>
      <c r="D8" s="201" t="str">
        <f>AP!I80</f>
        <v>Emisi CO2 - Material Removal</v>
      </c>
      <c r="E8" s="203">
        <f>AP!H80</f>
        <v>0.44063641093504202</v>
      </c>
      <c r="F8" s="230" t="str">
        <f>'UT AP'!I44</f>
        <v>Solar - Utility Mining</v>
      </c>
      <c r="G8" s="203">
        <f>'UT AP'!H44</f>
        <v>0.97453094946073282</v>
      </c>
    </row>
    <row r="9" spans="1:7" x14ac:dyDescent="0.3">
      <c r="A9" s="334"/>
      <c r="B9" s="331"/>
      <c r="C9" s="334"/>
      <c r="D9" s="201" t="str">
        <f>AP!I60</f>
        <v>Solar - Material Removal</v>
      </c>
      <c r="E9" s="203">
        <f>AP!H60</f>
        <v>0.3268993757792214</v>
      </c>
      <c r="F9" s="230"/>
      <c r="G9" s="203"/>
    </row>
    <row r="10" spans="1:7" s="186" customFormat="1" x14ac:dyDescent="0.3">
      <c r="A10" s="335"/>
      <c r="B10" s="332"/>
      <c r="C10" s="335"/>
      <c r="D10" s="201" t="str">
        <f>AP!I89</f>
        <v>Emisi CO2 - Coal Crushing</v>
      </c>
      <c r="E10" s="203">
        <f>AP!H89</f>
        <v>4.5352823415314332E-2</v>
      </c>
      <c r="F10" s="230"/>
      <c r="G10" s="200"/>
    </row>
    <row r="11" spans="1:7" ht="14.15" customHeight="1" x14ac:dyDescent="0.3">
      <c r="A11" s="338">
        <v>4</v>
      </c>
      <c r="B11" s="341" t="s">
        <v>225</v>
      </c>
      <c r="C11" s="338" t="s">
        <v>226</v>
      </c>
      <c r="D11" s="211" t="str">
        <f>EP!I80</f>
        <v>Emisi CO2 - Material Removal</v>
      </c>
      <c r="E11" s="213">
        <f>EP!H80</f>
        <v>0.64130899514617301</v>
      </c>
      <c r="F11" s="231" t="str">
        <f>'UT EP'!I44</f>
        <v>Solar - Utility Mining</v>
      </c>
      <c r="G11" s="213">
        <f>'UT EP'!H44</f>
        <v>0.92928689109293416</v>
      </c>
    </row>
    <row r="12" spans="1:7" x14ac:dyDescent="0.3">
      <c r="A12" s="339"/>
      <c r="B12" s="342"/>
      <c r="C12" s="339"/>
      <c r="D12" s="211" t="str">
        <f>EP!I60</f>
        <v>Solar - Material Removal</v>
      </c>
      <c r="E12" s="213">
        <f>EP!H60</f>
        <v>0.14245947103336798</v>
      </c>
      <c r="F12" s="231"/>
      <c r="G12" s="213"/>
    </row>
    <row r="13" spans="1:7" s="185" customFormat="1" x14ac:dyDescent="0.3">
      <c r="A13" s="340"/>
      <c r="B13" s="343"/>
      <c r="C13" s="340"/>
      <c r="D13" s="305" t="str">
        <f>EP!I89</f>
        <v>Emisi CO2 - Coal Crushing</v>
      </c>
      <c r="E13" s="306">
        <f>EP!H89</f>
        <v>6.6007195251517131E-2</v>
      </c>
      <c r="F13" s="406"/>
      <c r="G13" s="306"/>
    </row>
    <row r="14" spans="1:7" s="421" customFormat="1" ht="14.15" customHeight="1" x14ac:dyDescent="0.3">
      <c r="A14" s="416"/>
      <c r="B14" s="417"/>
      <c r="C14" s="416"/>
      <c r="D14" s="418"/>
      <c r="E14" s="419"/>
      <c r="F14" s="420"/>
      <c r="G14" s="419"/>
    </row>
    <row r="15" spans="1:7" s="412" customFormat="1" x14ac:dyDescent="0.3">
      <c r="A15" s="407"/>
      <c r="B15" s="408"/>
      <c r="C15" s="407"/>
      <c r="D15" s="409"/>
      <c r="E15" s="410"/>
      <c r="F15" s="411"/>
      <c r="G15" s="410"/>
    </row>
    <row r="16" spans="1:7" s="412" customFormat="1" x14ac:dyDescent="0.3">
      <c r="A16" s="407"/>
      <c r="B16" s="408"/>
      <c r="C16" s="407"/>
      <c r="D16" s="409"/>
      <c r="E16" s="410"/>
      <c r="F16" s="411"/>
      <c r="G16" s="413"/>
    </row>
    <row r="17" spans="1:7" s="412" customFormat="1" x14ac:dyDescent="0.3">
      <c r="A17" s="407"/>
      <c r="B17" s="408"/>
      <c r="C17" s="407"/>
      <c r="D17" s="414"/>
      <c r="E17" s="415"/>
      <c r="F17" s="411"/>
      <c r="G17" s="410"/>
    </row>
    <row r="18" spans="1:7" s="412" customFormat="1" x14ac:dyDescent="0.3">
      <c r="A18" s="407"/>
      <c r="B18" s="408"/>
      <c r="C18" s="407"/>
      <c r="D18" s="414"/>
      <c r="E18" s="415"/>
      <c r="G18" s="410"/>
    </row>
    <row r="19" spans="1:7" s="412" customFormat="1" x14ac:dyDescent="0.3">
      <c r="A19" s="407"/>
      <c r="B19" s="408"/>
      <c r="C19" s="407"/>
      <c r="D19" s="409"/>
      <c r="E19" s="410"/>
      <c r="F19" s="411"/>
      <c r="G19" s="410"/>
    </row>
    <row r="20" spans="1:7" s="412" customFormat="1" x14ac:dyDescent="0.3">
      <c r="A20" s="407"/>
      <c r="B20" s="408"/>
      <c r="C20" s="407"/>
      <c r="D20" s="409"/>
      <c r="E20" s="410"/>
      <c r="F20" s="411"/>
      <c r="G20" s="413"/>
    </row>
    <row r="21" spans="1:7" s="412" customFormat="1" x14ac:dyDescent="0.3">
      <c r="A21" s="407"/>
      <c r="B21" s="408"/>
      <c r="C21" s="407"/>
      <c r="D21" s="409"/>
      <c r="E21" s="410"/>
      <c r="F21" s="411"/>
      <c r="G21" s="410"/>
    </row>
    <row r="22" spans="1:7" s="412" customFormat="1" x14ac:dyDescent="0.3">
      <c r="A22" s="407"/>
      <c r="B22" s="408"/>
      <c r="C22" s="407"/>
      <c r="D22" s="411"/>
      <c r="E22" s="410"/>
      <c r="F22" s="411"/>
      <c r="G22" s="410"/>
    </row>
  </sheetData>
  <mergeCells count="31">
    <mergeCell ref="F1:G1"/>
    <mergeCell ref="C6:C7"/>
    <mergeCell ref="C8:C10"/>
    <mergeCell ref="A1:A2"/>
    <mergeCell ref="D1:E1"/>
    <mergeCell ref="B1:B2"/>
    <mergeCell ref="C1:C2"/>
    <mergeCell ref="D17:D18"/>
    <mergeCell ref="E17:E18"/>
    <mergeCell ref="A3:A5"/>
    <mergeCell ref="B3:B5"/>
    <mergeCell ref="C3:C5"/>
    <mergeCell ref="A8:A10"/>
    <mergeCell ref="B8:B10"/>
    <mergeCell ref="A17:A18"/>
    <mergeCell ref="B17:B18"/>
    <mergeCell ref="C17:C18"/>
    <mergeCell ref="A11:A13"/>
    <mergeCell ref="B11:B13"/>
    <mergeCell ref="C11:C13"/>
    <mergeCell ref="C14:C16"/>
    <mergeCell ref="A6:A7"/>
    <mergeCell ref="B6:B7"/>
    <mergeCell ref="B14:B16"/>
    <mergeCell ref="A14:A16"/>
    <mergeCell ref="A21:A22"/>
    <mergeCell ref="B21:B22"/>
    <mergeCell ref="C21:C22"/>
    <mergeCell ref="A19:A20"/>
    <mergeCell ref="B19:B20"/>
    <mergeCell ref="C19:C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AD1015"/>
  <sheetViews>
    <sheetView topLeftCell="F10" zoomScale="69" zoomScaleNormal="40" workbookViewId="0">
      <selection activeCell="I23" sqref="I23"/>
    </sheetView>
  </sheetViews>
  <sheetFormatPr defaultColWidth="12.58203125" defaultRowHeight="15" customHeight="1" x14ac:dyDescent="0.3"/>
  <cols>
    <col min="1" max="1" width="4.5" customWidth="1"/>
    <col min="2" max="2" width="25.25" customWidth="1"/>
    <col min="3" max="3" width="20.83203125" customWidth="1"/>
    <col min="4" max="4" width="23.25" customWidth="1"/>
    <col min="5" max="5" width="12.08203125" customWidth="1"/>
    <col min="6" max="6" width="7.58203125" customWidth="1"/>
    <col min="7" max="7" width="13.25" customWidth="1"/>
    <col min="8" max="8" width="12.08203125" customWidth="1"/>
    <col min="9" max="9" width="7.58203125" customWidth="1"/>
    <col min="10" max="10" width="16.83203125" customWidth="1"/>
    <col min="11" max="11" width="11.58203125" customWidth="1"/>
    <col min="12" max="14" width="7.58203125" customWidth="1"/>
    <col min="15" max="15" width="11.58203125" customWidth="1"/>
    <col min="16" max="16" width="13.58203125" customWidth="1"/>
    <col min="17" max="17" width="8.58203125" customWidth="1"/>
    <col min="18" max="18" width="22.58203125" customWidth="1"/>
    <col min="19" max="19" width="14.08203125" customWidth="1"/>
    <col min="20" max="20" width="7.58203125" customWidth="1"/>
    <col min="21" max="21" width="19.25" customWidth="1"/>
    <col min="22" max="23" width="7.58203125" customWidth="1"/>
    <col min="24" max="24" width="10.83203125" customWidth="1"/>
    <col min="25" max="26" width="7.58203125" customWidth="1"/>
    <col min="27" max="27" width="14.33203125" customWidth="1"/>
    <col min="28" max="29" width="7.58203125" customWidth="1"/>
    <col min="30" max="30" width="22" customWidth="1"/>
  </cols>
  <sheetData>
    <row r="1" spans="1:30" ht="14.25" customHeight="1" x14ac:dyDescent="0.3">
      <c r="A1" s="352" t="s">
        <v>0</v>
      </c>
      <c r="B1" s="352" t="s">
        <v>1</v>
      </c>
      <c r="C1" s="355" t="s">
        <v>2</v>
      </c>
      <c r="D1" s="376" t="s">
        <v>3</v>
      </c>
      <c r="E1" s="371"/>
      <c r="F1" s="371"/>
      <c r="G1" s="371"/>
      <c r="H1" s="371"/>
      <c r="I1" s="371"/>
      <c r="J1" s="371"/>
      <c r="K1" s="371"/>
      <c r="L1" s="371"/>
      <c r="M1" s="371"/>
      <c r="N1" s="372"/>
      <c r="O1" s="377" t="s">
        <v>4</v>
      </c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2"/>
      <c r="AD1" s="374" t="s">
        <v>5</v>
      </c>
    </row>
    <row r="2" spans="1:30" ht="40.5" customHeight="1" x14ac:dyDescent="0.3">
      <c r="A2" s="353"/>
      <c r="B2" s="353"/>
      <c r="C2" s="353"/>
      <c r="D2" s="375" t="s">
        <v>6</v>
      </c>
      <c r="E2" s="375" t="s">
        <v>7</v>
      </c>
      <c r="F2" s="375" t="s">
        <v>8</v>
      </c>
      <c r="G2" s="375" t="s">
        <v>9</v>
      </c>
      <c r="H2" s="375" t="s">
        <v>7</v>
      </c>
      <c r="I2" s="375" t="s">
        <v>8</v>
      </c>
      <c r="J2" s="375" t="s">
        <v>10</v>
      </c>
      <c r="K2" s="375" t="s">
        <v>7</v>
      </c>
      <c r="L2" s="375" t="s">
        <v>8</v>
      </c>
      <c r="M2" s="373" t="s">
        <v>11</v>
      </c>
      <c r="N2" s="372"/>
      <c r="O2" s="362" t="s">
        <v>12</v>
      </c>
      <c r="P2" s="362" t="s">
        <v>7</v>
      </c>
      <c r="Q2" s="362" t="s">
        <v>8</v>
      </c>
      <c r="R2" s="362" t="s">
        <v>13</v>
      </c>
      <c r="S2" s="362" t="s">
        <v>7</v>
      </c>
      <c r="T2" s="362" t="s">
        <v>8</v>
      </c>
      <c r="U2" s="362" t="s">
        <v>14</v>
      </c>
      <c r="V2" s="362" t="s">
        <v>7</v>
      </c>
      <c r="W2" s="362" t="s">
        <v>8</v>
      </c>
      <c r="X2" s="362" t="s">
        <v>15</v>
      </c>
      <c r="Y2" s="362" t="s">
        <v>7</v>
      </c>
      <c r="Z2" s="362" t="s">
        <v>8</v>
      </c>
      <c r="AA2" s="362" t="s">
        <v>16</v>
      </c>
      <c r="AB2" s="362" t="s">
        <v>7</v>
      </c>
      <c r="AC2" s="362" t="s">
        <v>8</v>
      </c>
      <c r="AD2" s="353"/>
    </row>
    <row r="3" spans="1:30" ht="14.25" customHeight="1" x14ac:dyDescent="0.3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1" t="s">
        <v>17</v>
      </c>
      <c r="N3" s="1" t="s">
        <v>8</v>
      </c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</row>
    <row r="4" spans="1:30" ht="14.25" customHeight="1" x14ac:dyDescent="0.3">
      <c r="A4" s="378">
        <v>1</v>
      </c>
      <c r="B4" s="358" t="s">
        <v>18</v>
      </c>
      <c r="C4" s="2" t="s">
        <v>19</v>
      </c>
      <c r="D4" s="3" t="s">
        <v>20</v>
      </c>
      <c r="E4" s="4">
        <v>333.06</v>
      </c>
      <c r="F4" s="4" t="s">
        <v>21</v>
      </c>
      <c r="G4" s="5" t="s">
        <v>22</v>
      </c>
      <c r="H4" s="6">
        <v>218005.76520536662</v>
      </c>
      <c r="I4" s="6" t="s">
        <v>23</v>
      </c>
      <c r="J4" s="7"/>
      <c r="K4" s="7"/>
      <c r="L4" s="7"/>
      <c r="M4" s="7"/>
      <c r="N4" s="7"/>
      <c r="O4" s="8" t="s">
        <v>24</v>
      </c>
      <c r="P4" s="250">
        <f>($H$4*$O$60)*P53</f>
        <v>0.97851451700898395</v>
      </c>
      <c r="Q4" s="9" t="s">
        <v>25</v>
      </c>
      <c r="R4" s="10" t="s">
        <v>26</v>
      </c>
      <c r="S4" s="4">
        <v>239</v>
      </c>
      <c r="T4" s="11" t="s">
        <v>27</v>
      </c>
      <c r="U4" s="12"/>
      <c r="V4" s="12"/>
      <c r="W4" s="12"/>
      <c r="X4" s="13"/>
      <c r="Y4" s="13"/>
      <c r="Z4" s="13"/>
      <c r="AA4" s="13"/>
      <c r="AB4" s="13"/>
      <c r="AC4" s="13"/>
      <c r="AD4" s="14"/>
    </row>
    <row r="5" spans="1:30" ht="14.25" customHeight="1" x14ac:dyDescent="0.3">
      <c r="A5" s="353"/>
      <c r="B5" s="353"/>
      <c r="C5" s="15" t="s">
        <v>28</v>
      </c>
      <c r="D5" s="7"/>
      <c r="E5" s="16"/>
      <c r="F5" s="16"/>
      <c r="G5" s="7"/>
      <c r="H5" s="16"/>
      <c r="I5" s="16"/>
      <c r="J5" s="7"/>
      <c r="K5" s="7"/>
      <c r="L5" s="7"/>
      <c r="M5" s="7"/>
      <c r="N5" s="7"/>
      <c r="O5" s="17" t="s">
        <v>29</v>
      </c>
      <c r="P5" s="250">
        <f>($H$4*$O$60)*P54</f>
        <v>14.879887581555609</v>
      </c>
      <c r="Q5" s="18" t="s">
        <v>30</v>
      </c>
      <c r="R5" s="7"/>
      <c r="S5" s="16"/>
      <c r="T5" s="7"/>
      <c r="U5" s="7"/>
      <c r="V5" s="7"/>
      <c r="W5" s="7"/>
      <c r="X5" s="13"/>
      <c r="Y5" s="13"/>
      <c r="Z5" s="13"/>
      <c r="AA5" s="13"/>
      <c r="AB5" s="13"/>
      <c r="AC5" s="13"/>
      <c r="AD5" s="14"/>
    </row>
    <row r="6" spans="1:30" ht="14.25" customHeight="1" x14ac:dyDescent="0.3">
      <c r="A6" s="353"/>
      <c r="B6" s="353"/>
      <c r="C6" s="15"/>
      <c r="D6" s="7"/>
      <c r="E6" s="16"/>
      <c r="F6" s="16"/>
      <c r="G6" s="7"/>
      <c r="H6" s="16"/>
      <c r="I6" s="16"/>
      <c r="J6" s="7"/>
      <c r="K6" s="7"/>
      <c r="L6" s="7"/>
      <c r="M6" s="7"/>
      <c r="N6" s="7"/>
      <c r="O6" s="17" t="s">
        <v>31</v>
      </c>
      <c r="P6" s="250">
        <f>($H$4*$O$60)*P56</f>
        <v>581.55217926183593</v>
      </c>
      <c r="Q6" s="18" t="s">
        <v>32</v>
      </c>
      <c r="R6" s="7"/>
      <c r="S6" s="16"/>
      <c r="T6" s="7"/>
      <c r="U6" s="7"/>
      <c r="V6" s="7"/>
      <c r="W6" s="7"/>
      <c r="X6" s="13"/>
      <c r="Y6" s="13"/>
      <c r="Z6" s="13"/>
      <c r="AA6" s="13"/>
      <c r="AB6" s="13"/>
      <c r="AC6" s="13"/>
      <c r="AD6" s="14"/>
    </row>
    <row r="7" spans="1:30" ht="14.25" customHeight="1" x14ac:dyDescent="0.3">
      <c r="A7" s="354"/>
      <c r="B7" s="354"/>
      <c r="C7" s="15"/>
      <c r="D7" s="7"/>
      <c r="E7" s="16"/>
      <c r="F7" s="16"/>
      <c r="G7" s="7"/>
      <c r="H7" s="16"/>
      <c r="I7" s="16"/>
      <c r="J7" s="7"/>
      <c r="K7" s="7"/>
      <c r="L7" s="7"/>
      <c r="M7" s="7"/>
      <c r="N7" s="7"/>
      <c r="O7" s="7"/>
      <c r="P7" s="251"/>
      <c r="Q7" s="16"/>
      <c r="R7" s="7"/>
      <c r="S7" s="16"/>
      <c r="T7" s="7"/>
      <c r="U7" s="7"/>
      <c r="V7" s="7"/>
      <c r="W7" s="7"/>
      <c r="X7" s="13"/>
      <c r="Y7" s="13"/>
      <c r="Z7" s="13"/>
      <c r="AA7" s="13"/>
      <c r="AB7" s="13"/>
      <c r="AC7" s="13"/>
      <c r="AD7" s="14"/>
    </row>
    <row r="8" spans="1:30" ht="14.25" customHeight="1" x14ac:dyDescent="0.3">
      <c r="A8" s="356">
        <v>2</v>
      </c>
      <c r="B8" s="379" t="s">
        <v>33</v>
      </c>
      <c r="C8" s="2" t="s">
        <v>19</v>
      </c>
      <c r="D8" s="5" t="s">
        <v>34</v>
      </c>
      <c r="E8" s="6">
        <v>972822</v>
      </c>
      <c r="F8" s="18" t="s">
        <v>35</v>
      </c>
      <c r="G8" s="5" t="s">
        <v>22</v>
      </c>
      <c r="H8" s="6">
        <v>1543535.3718051447</v>
      </c>
      <c r="I8" s="6" t="s">
        <v>23</v>
      </c>
      <c r="J8" s="7"/>
      <c r="K8" s="7"/>
      <c r="L8" s="7"/>
      <c r="M8" s="7"/>
      <c r="N8" s="7"/>
      <c r="O8" s="8" t="s">
        <v>24</v>
      </c>
      <c r="P8" s="250">
        <f>($H$8*$O$60)*P53</f>
        <v>6.9281276456399565</v>
      </c>
      <c r="Q8" s="9" t="s">
        <v>25</v>
      </c>
      <c r="R8" s="19" t="s">
        <v>34</v>
      </c>
      <c r="S8" s="6">
        <f>E8</f>
        <v>972822</v>
      </c>
      <c r="T8" s="20" t="s">
        <v>35</v>
      </c>
      <c r="U8" s="7"/>
      <c r="V8" s="7"/>
      <c r="W8" s="7"/>
      <c r="X8" s="13"/>
      <c r="Y8" s="13"/>
      <c r="Z8" s="13"/>
      <c r="AA8" s="13"/>
      <c r="AB8" s="13"/>
      <c r="AC8" s="13"/>
      <c r="AD8" s="14"/>
    </row>
    <row r="9" spans="1:30" ht="14.25" customHeight="1" x14ac:dyDescent="0.3">
      <c r="A9" s="353"/>
      <c r="B9" s="353"/>
      <c r="C9" s="2" t="s">
        <v>36</v>
      </c>
      <c r="D9" s="7"/>
      <c r="E9" s="16"/>
      <c r="F9" s="16"/>
      <c r="G9" s="7"/>
      <c r="H9" s="16"/>
      <c r="I9" s="16"/>
      <c r="J9" s="7"/>
      <c r="K9" s="7"/>
      <c r="L9" s="7"/>
      <c r="M9" s="7"/>
      <c r="N9" s="7"/>
      <c r="O9" s="17" t="s">
        <v>29</v>
      </c>
      <c r="P9" s="250">
        <f>($H$8*$O$60)*P54</f>
        <v>105.35332764699658</v>
      </c>
      <c r="Q9" s="18" t="s">
        <v>30</v>
      </c>
      <c r="R9" s="21"/>
      <c r="S9" s="16"/>
      <c r="T9" s="21"/>
      <c r="U9" s="7"/>
      <c r="V9" s="7"/>
      <c r="W9" s="7"/>
      <c r="X9" s="13"/>
      <c r="Y9" s="13"/>
      <c r="Z9" s="13"/>
      <c r="AA9" s="13"/>
      <c r="AB9" s="13"/>
      <c r="AC9" s="13"/>
      <c r="AD9" s="14"/>
    </row>
    <row r="10" spans="1:30" ht="14.25" customHeight="1" x14ac:dyDescent="0.3">
      <c r="A10" s="353"/>
      <c r="B10" s="353"/>
      <c r="C10" s="2"/>
      <c r="D10" s="7"/>
      <c r="E10" s="16"/>
      <c r="F10" s="16"/>
      <c r="G10" s="7"/>
      <c r="H10" s="16"/>
      <c r="I10" s="16"/>
      <c r="J10" s="7"/>
      <c r="K10" s="7"/>
      <c r="L10" s="7"/>
      <c r="M10" s="7"/>
      <c r="N10" s="7"/>
      <c r="O10" s="17" t="s">
        <v>31</v>
      </c>
      <c r="P10" s="250">
        <f>($H$8*$O$60)*P56</f>
        <v>4117.5349578274036</v>
      </c>
      <c r="Q10" s="18" t="s">
        <v>32</v>
      </c>
      <c r="R10" s="21"/>
      <c r="S10" s="16"/>
      <c r="T10" s="21"/>
      <c r="U10" s="7"/>
      <c r="V10" s="7"/>
      <c r="W10" s="7"/>
      <c r="X10" s="13"/>
      <c r="Y10" s="13"/>
      <c r="Z10" s="13"/>
      <c r="AA10" s="13"/>
      <c r="AB10" s="13"/>
      <c r="AC10" s="13"/>
      <c r="AD10" s="14"/>
    </row>
    <row r="11" spans="1:30" ht="14.25" customHeight="1" x14ac:dyDescent="0.3">
      <c r="A11" s="354"/>
      <c r="B11" s="354"/>
      <c r="C11" s="2"/>
      <c r="D11" s="7"/>
      <c r="E11" s="16"/>
      <c r="F11" s="16"/>
      <c r="G11" s="7"/>
      <c r="H11" s="16"/>
      <c r="I11" s="16"/>
      <c r="J11" s="7"/>
      <c r="K11" s="7"/>
      <c r="L11" s="7"/>
      <c r="M11" s="7"/>
      <c r="N11" s="7"/>
      <c r="O11" s="21"/>
      <c r="P11" s="251"/>
      <c r="Q11" s="22"/>
      <c r="R11" s="21"/>
      <c r="S11" s="16"/>
      <c r="T11" s="21"/>
      <c r="U11" s="7"/>
      <c r="V11" s="7"/>
      <c r="W11" s="7"/>
      <c r="X11" s="13"/>
      <c r="Y11" s="13"/>
      <c r="Z11" s="13"/>
      <c r="AA11" s="13"/>
      <c r="AB11" s="13"/>
      <c r="AC11" s="13"/>
      <c r="AD11" s="14"/>
    </row>
    <row r="12" spans="1:30" ht="14.25" customHeight="1" x14ac:dyDescent="0.3">
      <c r="A12" s="356">
        <v>3</v>
      </c>
      <c r="B12" s="379" t="s">
        <v>37</v>
      </c>
      <c r="C12" s="10" t="s">
        <v>38</v>
      </c>
      <c r="D12" s="5" t="s">
        <v>39</v>
      </c>
      <c r="E12" s="23">
        <v>91590645</v>
      </c>
      <c r="F12" s="23" t="s">
        <v>40</v>
      </c>
      <c r="G12" s="5" t="s">
        <v>22</v>
      </c>
      <c r="H12" s="6">
        <v>375602</v>
      </c>
      <c r="I12" s="6" t="s">
        <v>23</v>
      </c>
      <c r="J12" s="10" t="s">
        <v>41</v>
      </c>
      <c r="K12" s="4">
        <v>95274</v>
      </c>
      <c r="L12" s="6" t="s">
        <v>42</v>
      </c>
      <c r="M12" s="7"/>
      <c r="N12" s="7"/>
      <c r="O12" s="8" t="s">
        <v>24</v>
      </c>
      <c r="P12" s="250">
        <f>($H$12*$O$60)*P53</f>
        <v>1.6858820649600001</v>
      </c>
      <c r="Q12" s="9" t="s">
        <v>25</v>
      </c>
      <c r="R12" s="19" t="s">
        <v>43</v>
      </c>
      <c r="S12" s="6">
        <f>E12*88.8%</f>
        <v>81332492.760000005</v>
      </c>
      <c r="T12" s="20" t="s">
        <v>40</v>
      </c>
      <c r="U12" s="7"/>
      <c r="V12" s="7"/>
      <c r="W12" s="7"/>
      <c r="X12" s="13"/>
      <c r="Y12" s="13"/>
      <c r="Z12" s="13"/>
      <c r="AA12" s="13"/>
      <c r="AB12" s="13"/>
      <c r="AC12" s="13"/>
      <c r="AD12" s="14"/>
    </row>
    <row r="13" spans="1:30" ht="14.25" customHeight="1" x14ac:dyDescent="0.3">
      <c r="A13" s="353"/>
      <c r="B13" s="353"/>
      <c r="C13" s="10"/>
      <c r="D13" s="7"/>
      <c r="E13" s="16"/>
      <c r="F13" s="16"/>
      <c r="G13" s="7"/>
      <c r="H13" s="16"/>
      <c r="I13" s="16"/>
      <c r="J13" s="10" t="s">
        <v>44</v>
      </c>
      <c r="K13" s="4">
        <v>12713</v>
      </c>
      <c r="L13" s="6" t="s">
        <v>42</v>
      </c>
      <c r="M13" s="7"/>
      <c r="N13" s="7"/>
      <c r="O13" s="17" t="s">
        <v>29</v>
      </c>
      <c r="P13" s="250">
        <f>($H$12*$O$60)*P54</f>
        <v>25.636549245120001</v>
      </c>
      <c r="Q13" s="18" t="s">
        <v>30</v>
      </c>
      <c r="R13" s="7"/>
      <c r="S13" s="16"/>
      <c r="T13" s="7"/>
      <c r="U13" s="7"/>
      <c r="V13" s="7"/>
      <c r="W13" s="7"/>
      <c r="X13" s="13"/>
      <c r="Y13" s="13"/>
      <c r="Z13" s="13"/>
      <c r="AA13" s="13"/>
      <c r="AB13" s="13"/>
      <c r="AC13" s="13"/>
      <c r="AD13" s="14"/>
    </row>
    <row r="14" spans="1:30" ht="14.25" customHeight="1" x14ac:dyDescent="0.3">
      <c r="A14" s="353"/>
      <c r="B14" s="353"/>
      <c r="C14" s="10"/>
      <c r="D14" s="7"/>
      <c r="E14" s="16"/>
      <c r="F14" s="16"/>
      <c r="G14" s="7"/>
      <c r="H14" s="16"/>
      <c r="I14" s="16"/>
      <c r="J14" s="10" t="s">
        <v>45</v>
      </c>
      <c r="K14" s="4">
        <v>2652489</v>
      </c>
      <c r="L14" s="4" t="s">
        <v>42</v>
      </c>
      <c r="M14" s="7"/>
      <c r="N14" s="7"/>
      <c r="O14" s="17" t="s">
        <v>31</v>
      </c>
      <c r="P14" s="250">
        <f>($H$12*$O$60)*P56</f>
        <v>1001.9558952</v>
      </c>
      <c r="Q14" s="18" t="s">
        <v>32</v>
      </c>
      <c r="R14" s="7"/>
      <c r="S14" s="16"/>
      <c r="T14" s="7"/>
      <c r="U14" s="7"/>
      <c r="V14" s="7"/>
      <c r="W14" s="7"/>
      <c r="X14" s="13"/>
      <c r="Y14" s="13"/>
      <c r="Z14" s="13"/>
      <c r="AA14" s="13"/>
      <c r="AB14" s="13"/>
      <c r="AC14" s="13"/>
      <c r="AD14" s="14"/>
    </row>
    <row r="15" spans="1:30" ht="14.25" customHeight="1" x14ac:dyDescent="0.3">
      <c r="A15" s="353"/>
      <c r="B15" s="353"/>
      <c r="C15" s="10"/>
      <c r="D15" s="7"/>
      <c r="E15" s="16"/>
      <c r="F15" s="16"/>
      <c r="G15" s="7"/>
      <c r="H15" s="16"/>
      <c r="I15" s="16"/>
      <c r="J15" s="10" t="s">
        <v>46</v>
      </c>
      <c r="K15" s="4">
        <v>3981424</v>
      </c>
      <c r="L15" s="4" t="s">
        <v>42</v>
      </c>
      <c r="M15" s="7"/>
      <c r="N15" s="7"/>
      <c r="O15" s="24"/>
      <c r="P15" s="251"/>
      <c r="Q15" s="25"/>
      <c r="R15" s="7"/>
      <c r="S15" s="16"/>
      <c r="T15" s="7"/>
      <c r="U15" s="7"/>
      <c r="V15" s="7"/>
      <c r="W15" s="7"/>
      <c r="X15" s="13"/>
      <c r="Y15" s="13"/>
      <c r="Z15" s="13"/>
      <c r="AA15" s="13"/>
      <c r="AB15" s="13"/>
      <c r="AC15" s="13"/>
      <c r="AD15" s="14"/>
    </row>
    <row r="16" spans="1:30" ht="14.25" customHeight="1" x14ac:dyDescent="0.3">
      <c r="A16" s="353"/>
      <c r="B16" s="353"/>
      <c r="C16" s="10"/>
      <c r="D16" s="7"/>
      <c r="E16" s="16"/>
      <c r="F16" s="16"/>
      <c r="G16" s="7"/>
      <c r="H16" s="16"/>
      <c r="I16" s="16"/>
      <c r="J16" s="3" t="s">
        <v>47</v>
      </c>
      <c r="K16" s="4">
        <v>117450</v>
      </c>
      <c r="L16" s="4" t="s">
        <v>48</v>
      </c>
      <c r="M16" s="7"/>
      <c r="N16" s="7"/>
      <c r="O16" s="24"/>
      <c r="P16" s="251"/>
      <c r="Q16" s="25"/>
      <c r="R16" s="7"/>
      <c r="S16" s="16"/>
      <c r="T16" s="7"/>
      <c r="U16" s="7"/>
      <c r="V16" s="7"/>
      <c r="W16" s="7"/>
      <c r="X16" s="13"/>
      <c r="Y16" s="13"/>
      <c r="Z16" s="13"/>
      <c r="AA16" s="13"/>
      <c r="AB16" s="13"/>
      <c r="AC16" s="13"/>
      <c r="AD16" s="14"/>
    </row>
    <row r="17" spans="1:30" ht="14.25" customHeight="1" x14ac:dyDescent="0.35">
      <c r="A17" s="354"/>
      <c r="B17" s="354"/>
      <c r="C17" s="10"/>
      <c r="D17" s="7"/>
      <c r="E17" s="16"/>
      <c r="F17" s="16"/>
      <c r="G17" s="7"/>
      <c r="H17" s="16"/>
      <c r="I17" s="16"/>
      <c r="J17" s="26"/>
      <c r="K17" s="26"/>
      <c r="L17" s="26"/>
      <c r="M17" s="7"/>
      <c r="N17" s="7"/>
      <c r="O17" s="7"/>
      <c r="P17" s="251"/>
      <c r="Q17" s="16"/>
      <c r="R17" s="7"/>
      <c r="S17" s="16"/>
      <c r="T17" s="7"/>
      <c r="U17" s="7"/>
      <c r="V17" s="7"/>
      <c r="W17" s="7"/>
      <c r="X17" s="13"/>
      <c r="Y17" s="13"/>
      <c r="Z17" s="13"/>
      <c r="AA17" s="13"/>
      <c r="AB17" s="13"/>
      <c r="AC17" s="13"/>
      <c r="AD17" s="14"/>
    </row>
    <row r="18" spans="1:30" ht="14.25" customHeight="1" x14ac:dyDescent="0.3">
      <c r="A18" s="378">
        <v>4</v>
      </c>
      <c r="B18" s="358" t="s">
        <v>49</v>
      </c>
      <c r="C18" s="14" t="s">
        <v>19</v>
      </c>
      <c r="D18" s="5" t="s">
        <v>50</v>
      </c>
      <c r="E18" s="6">
        <f>E12</f>
        <v>91590645</v>
      </c>
      <c r="F18" s="6" t="s">
        <v>40</v>
      </c>
      <c r="G18" s="3" t="s">
        <v>22</v>
      </c>
      <c r="H18" s="27">
        <v>38539302</v>
      </c>
      <c r="I18" s="4" t="s">
        <v>23</v>
      </c>
      <c r="J18" s="7"/>
      <c r="K18" s="7"/>
      <c r="L18" s="7"/>
      <c r="M18" s="7"/>
      <c r="N18" s="7"/>
      <c r="O18" s="8" t="s">
        <v>24</v>
      </c>
      <c r="P18" s="250">
        <f>($H$18*$O$60)*P53</f>
        <v>172.98288624096</v>
      </c>
      <c r="Q18" s="9" t="s">
        <v>25</v>
      </c>
      <c r="R18" s="5" t="s">
        <v>50</v>
      </c>
      <c r="S18" s="6">
        <f>E18</f>
        <v>91590645</v>
      </c>
      <c r="T18" s="6" t="s">
        <v>40</v>
      </c>
      <c r="U18" s="7"/>
      <c r="V18" s="7"/>
      <c r="W18" s="7"/>
      <c r="X18" s="13"/>
      <c r="Y18" s="13"/>
      <c r="Z18" s="13"/>
      <c r="AA18" s="13"/>
      <c r="AB18" s="13"/>
      <c r="AC18" s="13"/>
      <c r="AD18" s="14"/>
    </row>
    <row r="19" spans="1:30" ht="14.25" customHeight="1" x14ac:dyDescent="0.3">
      <c r="A19" s="353"/>
      <c r="B19" s="353"/>
      <c r="C19" s="14" t="s">
        <v>51</v>
      </c>
      <c r="D19" s="7"/>
      <c r="E19" s="16"/>
      <c r="F19" s="16"/>
      <c r="G19" s="7"/>
      <c r="H19" s="16"/>
      <c r="I19" s="16"/>
      <c r="J19" s="7"/>
      <c r="K19" s="7"/>
      <c r="L19" s="7"/>
      <c r="M19" s="7"/>
      <c r="N19" s="7"/>
      <c r="O19" s="17" t="s">
        <v>29</v>
      </c>
      <c r="P19" s="250">
        <f>($H$18*$O$60)*P54</f>
        <v>2630.4831007171201</v>
      </c>
      <c r="Q19" s="18" t="s">
        <v>30</v>
      </c>
      <c r="R19" s="7"/>
      <c r="S19" s="16"/>
      <c r="T19" s="7"/>
      <c r="U19" s="7"/>
      <c r="V19" s="7"/>
      <c r="W19" s="7"/>
      <c r="X19" s="13"/>
      <c r="Y19" s="13"/>
      <c r="Z19" s="13"/>
      <c r="AA19" s="13"/>
      <c r="AB19" s="13"/>
      <c r="AC19" s="13"/>
      <c r="AD19" s="14"/>
    </row>
    <row r="20" spans="1:30" ht="14.25" customHeight="1" x14ac:dyDescent="0.3">
      <c r="A20" s="353"/>
      <c r="B20" s="353"/>
      <c r="C20" s="14"/>
      <c r="D20" s="7"/>
      <c r="E20" s="16"/>
      <c r="F20" s="16"/>
      <c r="G20" s="7"/>
      <c r="H20" s="16"/>
      <c r="I20" s="16"/>
      <c r="J20" s="7"/>
      <c r="K20" s="7"/>
      <c r="L20" s="7"/>
      <c r="M20" s="7"/>
      <c r="N20" s="7"/>
      <c r="O20" s="17" t="s">
        <v>31</v>
      </c>
      <c r="P20" s="250">
        <f>($H$18*$O$60)*P56</f>
        <v>102807.44201519999</v>
      </c>
      <c r="Q20" s="18" t="s">
        <v>32</v>
      </c>
      <c r="R20" s="7"/>
      <c r="S20" s="16"/>
      <c r="T20" s="7"/>
      <c r="U20" s="7"/>
      <c r="V20" s="7"/>
      <c r="W20" s="7"/>
      <c r="X20" s="13"/>
      <c r="Y20" s="13"/>
      <c r="Z20" s="13"/>
      <c r="AA20" s="13"/>
      <c r="AB20" s="13"/>
      <c r="AC20" s="13"/>
      <c r="AD20" s="14"/>
    </row>
    <row r="21" spans="1:30" ht="14.25" customHeight="1" x14ac:dyDescent="0.3">
      <c r="A21" s="354"/>
      <c r="B21" s="354"/>
      <c r="C21" s="14"/>
      <c r="D21" s="7"/>
      <c r="E21" s="16"/>
      <c r="F21" s="16"/>
      <c r="G21" s="7"/>
      <c r="H21" s="16"/>
      <c r="I21" s="16"/>
      <c r="J21" s="7"/>
      <c r="K21" s="7"/>
      <c r="L21" s="7"/>
      <c r="M21" s="7"/>
      <c r="N21" s="7"/>
      <c r="O21" s="7"/>
      <c r="P21" s="251"/>
      <c r="Q21" s="16"/>
      <c r="R21" s="7"/>
      <c r="S21" s="16"/>
      <c r="T21" s="7"/>
      <c r="U21" s="7"/>
      <c r="V21" s="7"/>
      <c r="W21" s="7"/>
      <c r="X21" s="13"/>
      <c r="Y21" s="13"/>
      <c r="Z21" s="13"/>
      <c r="AA21" s="13"/>
      <c r="AB21" s="13"/>
      <c r="AC21" s="13"/>
      <c r="AD21" s="14"/>
    </row>
    <row r="22" spans="1:30" ht="14.25" customHeight="1" x14ac:dyDescent="0.3">
      <c r="A22" s="356">
        <v>5</v>
      </c>
      <c r="B22" s="358" t="s">
        <v>52</v>
      </c>
      <c r="C22" s="28" t="s">
        <v>53</v>
      </c>
      <c r="D22" s="5" t="s">
        <v>54</v>
      </c>
      <c r="E22" s="6">
        <v>3687229</v>
      </c>
      <c r="F22" s="6" t="s">
        <v>55</v>
      </c>
      <c r="G22" s="3" t="s">
        <v>22</v>
      </c>
      <c r="H22" s="4">
        <v>650488</v>
      </c>
      <c r="I22" s="4" t="s">
        <v>23</v>
      </c>
      <c r="J22" s="7"/>
      <c r="K22" s="7"/>
      <c r="L22" s="7"/>
      <c r="M22" s="7"/>
      <c r="N22" s="7"/>
      <c r="O22" s="8" t="s">
        <v>24</v>
      </c>
      <c r="P22" s="250">
        <f>($H$22*$O$60)*P53</f>
        <v>2.9197023782399998</v>
      </c>
      <c r="Q22" s="9" t="s">
        <v>25</v>
      </c>
      <c r="R22" s="17" t="s">
        <v>54</v>
      </c>
      <c r="S22" s="6">
        <f>E22</f>
        <v>3687229</v>
      </c>
      <c r="T22" s="6" t="s">
        <v>55</v>
      </c>
      <c r="U22" s="7"/>
      <c r="V22" s="7"/>
      <c r="W22" s="7"/>
      <c r="X22" s="13"/>
      <c r="Y22" s="13"/>
      <c r="Z22" s="13"/>
      <c r="AA22" s="13"/>
      <c r="AB22" s="13"/>
      <c r="AC22" s="13"/>
      <c r="AD22" s="14"/>
    </row>
    <row r="23" spans="1:30" ht="14.25" customHeight="1" x14ac:dyDescent="0.3">
      <c r="A23" s="353"/>
      <c r="B23" s="353"/>
      <c r="C23" s="28"/>
      <c r="D23" s="7"/>
      <c r="E23" s="16"/>
      <c r="F23" s="16"/>
      <c r="G23" s="7"/>
      <c r="H23" s="16"/>
      <c r="I23" s="16"/>
      <c r="J23" s="7"/>
      <c r="K23" s="7"/>
      <c r="L23" s="7"/>
      <c r="M23" s="7"/>
      <c r="N23" s="7"/>
      <c r="O23" s="17" t="s">
        <v>29</v>
      </c>
      <c r="P23" s="250">
        <f>($H$22*$O$60)*P54</f>
        <v>44.398772225279998</v>
      </c>
      <c r="Q23" s="18" t="s">
        <v>30</v>
      </c>
      <c r="R23" s="24"/>
      <c r="S23" s="16"/>
      <c r="T23" s="16"/>
      <c r="U23" s="7"/>
      <c r="V23" s="7"/>
      <c r="W23" s="7"/>
      <c r="X23" s="13"/>
      <c r="Y23" s="13"/>
      <c r="Z23" s="13"/>
      <c r="AA23" s="13"/>
      <c r="AB23" s="13"/>
      <c r="AC23" s="13"/>
      <c r="AD23" s="14"/>
    </row>
    <row r="24" spans="1:30" ht="14.25" customHeight="1" x14ac:dyDescent="0.3">
      <c r="A24" s="353"/>
      <c r="B24" s="353"/>
      <c r="C24" s="28"/>
      <c r="D24" s="7"/>
      <c r="E24" s="16"/>
      <c r="F24" s="16"/>
      <c r="G24" s="7"/>
      <c r="H24" s="16"/>
      <c r="I24" s="16"/>
      <c r="J24" s="7"/>
      <c r="K24" s="7"/>
      <c r="L24" s="7"/>
      <c r="M24" s="7"/>
      <c r="N24" s="7"/>
      <c r="O24" s="17" t="s">
        <v>31</v>
      </c>
      <c r="P24" s="250">
        <f>($H$22*$O$60)*P56</f>
        <v>1735.2417887999998</v>
      </c>
      <c r="Q24" s="18" t="s">
        <v>32</v>
      </c>
      <c r="R24" s="24"/>
      <c r="S24" s="16"/>
      <c r="T24" s="16"/>
      <c r="U24" s="7"/>
      <c r="V24" s="7"/>
      <c r="W24" s="7"/>
      <c r="X24" s="13"/>
      <c r="Y24" s="13"/>
      <c r="Z24" s="13"/>
      <c r="AA24" s="13"/>
      <c r="AB24" s="13"/>
      <c r="AC24" s="13"/>
      <c r="AD24" s="14"/>
    </row>
    <row r="25" spans="1:30" ht="14.25" customHeight="1" x14ac:dyDescent="0.3">
      <c r="A25" s="354"/>
      <c r="B25" s="354"/>
      <c r="C25" s="28"/>
      <c r="D25" s="7"/>
      <c r="E25" s="16"/>
      <c r="F25" s="16"/>
      <c r="G25" s="7"/>
      <c r="H25" s="16"/>
      <c r="I25" s="16"/>
      <c r="J25" s="7"/>
      <c r="K25" s="7"/>
      <c r="L25" s="7"/>
      <c r="M25" s="7"/>
      <c r="N25" s="7"/>
      <c r="O25" s="7"/>
      <c r="P25" s="251"/>
      <c r="Q25" s="16"/>
      <c r="R25" s="24"/>
      <c r="S25" s="16"/>
      <c r="T25" s="16"/>
      <c r="U25" s="7"/>
      <c r="V25" s="7"/>
      <c r="W25" s="7"/>
      <c r="X25" s="13"/>
      <c r="Y25" s="13"/>
      <c r="Z25" s="13"/>
      <c r="AA25" s="13"/>
      <c r="AB25" s="13"/>
      <c r="AC25" s="13"/>
      <c r="AD25" s="14"/>
    </row>
    <row r="26" spans="1:30" ht="14.25" customHeight="1" x14ac:dyDescent="0.3">
      <c r="A26" s="378">
        <v>6</v>
      </c>
      <c r="B26" s="358" t="s">
        <v>56</v>
      </c>
      <c r="C26" s="28" t="s">
        <v>57</v>
      </c>
      <c r="D26" s="5" t="s">
        <v>54</v>
      </c>
      <c r="E26" s="6">
        <f>E22</f>
        <v>3687229</v>
      </c>
      <c r="F26" s="6" t="s">
        <v>55</v>
      </c>
      <c r="G26" s="3" t="s">
        <v>22</v>
      </c>
      <c r="H26" s="4">
        <v>1534629</v>
      </c>
      <c r="I26" s="4" t="s">
        <v>23</v>
      </c>
      <c r="J26" s="7"/>
      <c r="K26" s="7"/>
      <c r="L26" s="7"/>
      <c r="M26" s="7"/>
      <c r="N26" s="7"/>
      <c r="O26" s="8" t="s">
        <v>24</v>
      </c>
      <c r="P26" s="250">
        <f>($H$26*$O$60)*P53</f>
        <v>6.8881515739200001</v>
      </c>
      <c r="Q26" s="9" t="s">
        <v>25</v>
      </c>
      <c r="R26" s="17" t="s">
        <v>54</v>
      </c>
      <c r="S26" s="6">
        <f>E26</f>
        <v>3687229</v>
      </c>
      <c r="T26" s="6" t="s">
        <v>55</v>
      </c>
      <c r="U26" s="7"/>
      <c r="V26" s="7"/>
      <c r="W26" s="7"/>
      <c r="X26" s="13"/>
      <c r="Y26" s="13"/>
      <c r="Z26" s="13"/>
      <c r="AA26" s="13"/>
      <c r="AB26" s="13"/>
      <c r="AC26" s="13"/>
      <c r="AD26" s="14"/>
    </row>
    <row r="27" spans="1:30" ht="14.25" customHeight="1" x14ac:dyDescent="0.3">
      <c r="A27" s="353"/>
      <c r="B27" s="353"/>
      <c r="C27" s="28"/>
      <c r="D27" s="7"/>
      <c r="E27" s="16"/>
      <c r="F27" s="16"/>
      <c r="G27" s="7"/>
      <c r="H27" s="16"/>
      <c r="I27" s="16"/>
      <c r="J27" s="7"/>
      <c r="K27" s="7"/>
      <c r="L27" s="7"/>
      <c r="M27" s="7"/>
      <c r="N27" s="7"/>
      <c r="O27" s="17" t="s">
        <v>29</v>
      </c>
      <c r="P27" s="250">
        <f>($H$26*$O$60)*P54</f>
        <v>104.74542715824001</v>
      </c>
      <c r="Q27" s="18" t="s">
        <v>30</v>
      </c>
      <c r="R27" s="24"/>
      <c r="S27" s="16"/>
      <c r="T27" s="16"/>
      <c r="U27" s="7"/>
      <c r="V27" s="7"/>
      <c r="W27" s="7"/>
      <c r="X27" s="13"/>
      <c r="Y27" s="13"/>
      <c r="Z27" s="13"/>
      <c r="AA27" s="13"/>
      <c r="AB27" s="13"/>
      <c r="AC27" s="13"/>
      <c r="AD27" s="14"/>
    </row>
    <row r="28" spans="1:30" ht="14.25" customHeight="1" x14ac:dyDescent="0.3">
      <c r="A28" s="353"/>
      <c r="B28" s="353"/>
      <c r="C28" s="28"/>
      <c r="D28" s="7"/>
      <c r="E28" s="16"/>
      <c r="F28" s="16"/>
      <c r="G28" s="7"/>
      <c r="H28" s="16"/>
      <c r="I28" s="16"/>
      <c r="J28" s="7"/>
      <c r="K28" s="7"/>
      <c r="L28" s="7"/>
      <c r="M28" s="7"/>
      <c r="N28" s="7"/>
      <c r="O28" s="17" t="s">
        <v>31</v>
      </c>
      <c r="P28" s="250">
        <f>($H$26*$O$60)*P56</f>
        <v>4093.7763203999998</v>
      </c>
      <c r="Q28" s="18" t="s">
        <v>32</v>
      </c>
      <c r="R28" s="24"/>
      <c r="S28" s="16"/>
      <c r="T28" s="16"/>
      <c r="U28" s="7"/>
      <c r="V28" s="7"/>
      <c r="W28" s="7"/>
      <c r="X28" s="13"/>
      <c r="Y28" s="13"/>
      <c r="Z28" s="13"/>
      <c r="AA28" s="13"/>
      <c r="AB28" s="13"/>
      <c r="AC28" s="13"/>
      <c r="AD28" s="14"/>
    </row>
    <row r="29" spans="1:30" ht="14.25" customHeight="1" x14ac:dyDescent="0.3">
      <c r="A29" s="354"/>
      <c r="B29" s="354"/>
      <c r="C29" s="28"/>
      <c r="D29" s="7"/>
      <c r="E29" s="16"/>
      <c r="F29" s="16"/>
      <c r="G29" s="7"/>
      <c r="H29" s="16"/>
      <c r="I29" s="16"/>
      <c r="J29" s="7"/>
      <c r="K29" s="7"/>
      <c r="L29" s="7"/>
      <c r="M29" s="7"/>
      <c r="N29" s="7"/>
      <c r="O29" s="7"/>
      <c r="P29" s="251"/>
      <c r="Q29" s="16"/>
      <c r="R29" s="24"/>
      <c r="S29" s="16"/>
      <c r="T29" s="16"/>
      <c r="U29" s="7"/>
      <c r="V29" s="7"/>
      <c r="W29" s="7"/>
      <c r="X29" s="13"/>
      <c r="Y29" s="13"/>
      <c r="Z29" s="13"/>
      <c r="AA29" s="13"/>
      <c r="AB29" s="13"/>
      <c r="AC29" s="13"/>
      <c r="AD29" s="14"/>
    </row>
    <row r="30" spans="1:30" ht="14.25" customHeight="1" x14ac:dyDescent="0.3">
      <c r="A30" s="356">
        <v>7</v>
      </c>
      <c r="B30" s="358" t="s">
        <v>58</v>
      </c>
      <c r="C30" s="28" t="s">
        <v>28</v>
      </c>
      <c r="D30" s="5" t="s">
        <v>54</v>
      </c>
      <c r="E30" s="6">
        <f>E22</f>
        <v>3687229</v>
      </c>
      <c r="F30" s="6" t="s">
        <v>55</v>
      </c>
      <c r="G30" s="5" t="s">
        <v>22</v>
      </c>
      <c r="H30" s="6">
        <v>3966685.7181558209</v>
      </c>
      <c r="I30" s="6" t="s">
        <v>23</v>
      </c>
      <c r="J30" s="7"/>
      <c r="K30" s="7"/>
      <c r="L30" s="7"/>
      <c r="M30" s="7"/>
      <c r="N30" s="7"/>
      <c r="O30" s="8" t="s">
        <v>24</v>
      </c>
      <c r="P30" s="250">
        <f>($H$30*$O$60)*P53</f>
        <v>17.804389512228042</v>
      </c>
      <c r="Q30" s="9" t="s">
        <v>25</v>
      </c>
      <c r="R30" s="17" t="s">
        <v>54</v>
      </c>
      <c r="S30" s="6">
        <f>E30</f>
        <v>3687229</v>
      </c>
      <c r="T30" s="6" t="s">
        <v>55</v>
      </c>
      <c r="U30" s="7"/>
      <c r="V30" s="7"/>
      <c r="W30" s="7"/>
      <c r="X30" s="13"/>
      <c r="Y30" s="13"/>
      <c r="Z30" s="13"/>
      <c r="AA30" s="13"/>
      <c r="AB30" s="13"/>
      <c r="AC30" s="13"/>
      <c r="AD30" s="14"/>
    </row>
    <row r="31" spans="1:30" ht="14.25" customHeight="1" x14ac:dyDescent="0.3">
      <c r="A31" s="353"/>
      <c r="B31" s="353"/>
      <c r="C31" s="29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7" t="s">
        <v>29</v>
      </c>
      <c r="P31" s="250">
        <f>($H$30*$O$60)*P54</f>
        <v>270.7443883510096</v>
      </c>
      <c r="Q31" s="18" t="s">
        <v>30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</row>
    <row r="32" spans="1:30" ht="14.25" customHeight="1" x14ac:dyDescent="0.3">
      <c r="A32" s="353"/>
      <c r="B32" s="353"/>
      <c r="C32" s="28" t="s">
        <v>57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7" t="s">
        <v>31</v>
      </c>
      <c r="P32" s="250">
        <f>($H$30*$O$60)*P56</f>
        <v>10581.530821752467</v>
      </c>
      <c r="Q32" s="18" t="s">
        <v>32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</row>
    <row r="33" spans="1:30" ht="14.25" customHeight="1" x14ac:dyDescent="0.3">
      <c r="A33" s="353"/>
      <c r="B33" s="353"/>
      <c r="C33" s="28" t="s">
        <v>19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</row>
    <row r="34" spans="1:30" ht="14.25" customHeight="1" x14ac:dyDescent="0.3">
      <c r="A34" s="353"/>
      <c r="B34" s="353"/>
      <c r="C34" s="29" t="s">
        <v>60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4"/>
    </row>
    <row r="35" spans="1:30" ht="14.25" customHeight="1" x14ac:dyDescent="0.3">
      <c r="A35" s="353"/>
      <c r="B35" s="353"/>
      <c r="C35" s="29" t="s">
        <v>61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1:30" ht="14.25" customHeight="1" x14ac:dyDescent="0.3">
      <c r="A36" s="353"/>
      <c r="B36" s="353"/>
      <c r="C36" s="28" t="s">
        <v>62</v>
      </c>
      <c r="D36" s="13"/>
      <c r="E36" s="30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</row>
    <row r="37" spans="1:30" ht="14.25" customHeight="1" x14ac:dyDescent="0.3">
      <c r="A37" s="353"/>
      <c r="B37" s="353"/>
      <c r="C37" s="29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</row>
    <row r="38" spans="1:30" ht="14.25" customHeight="1" x14ac:dyDescent="0.3">
      <c r="A38" s="357"/>
      <c r="B38" s="357"/>
      <c r="C38" s="266" t="s">
        <v>64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14"/>
    </row>
    <row r="39" spans="1:30" s="264" customFormat="1" ht="14.25" customHeight="1" x14ac:dyDescent="0.3">
      <c r="A39" s="346">
        <v>8</v>
      </c>
      <c r="B39" s="349" t="s">
        <v>272</v>
      </c>
      <c r="C39" s="268" t="s">
        <v>283</v>
      </c>
      <c r="D39" s="283" t="s">
        <v>54</v>
      </c>
      <c r="E39" s="18">
        <f>E22</f>
        <v>3687229</v>
      </c>
      <c r="F39" s="18" t="s">
        <v>55</v>
      </c>
      <c r="G39" s="270" t="s">
        <v>22</v>
      </c>
      <c r="H39" s="271">
        <v>1923081.7777777778</v>
      </c>
      <c r="I39" s="18" t="s">
        <v>23</v>
      </c>
      <c r="J39" s="269"/>
      <c r="K39" s="269"/>
      <c r="L39" s="269"/>
      <c r="M39" s="277">
        <v>80884</v>
      </c>
      <c r="N39" s="277" t="s">
        <v>35</v>
      </c>
      <c r="O39" s="277" t="s">
        <v>29</v>
      </c>
      <c r="P39" s="277">
        <v>1511.4085272</v>
      </c>
      <c r="Q39" s="278" t="s">
        <v>30</v>
      </c>
      <c r="R39" s="17" t="s">
        <v>54</v>
      </c>
      <c r="S39" s="18">
        <f>E39</f>
        <v>3687229</v>
      </c>
      <c r="T39" s="279" t="s">
        <v>55</v>
      </c>
      <c r="U39" s="269"/>
      <c r="V39" s="269"/>
      <c r="W39" s="269"/>
      <c r="X39" s="277" t="s">
        <v>284</v>
      </c>
      <c r="Y39" s="277">
        <v>80884</v>
      </c>
      <c r="Z39" s="277" t="s">
        <v>35</v>
      </c>
      <c r="AA39" s="269"/>
      <c r="AB39" s="269"/>
      <c r="AC39" s="269"/>
      <c r="AD39" s="265"/>
    </row>
    <row r="40" spans="1:30" s="264" customFormat="1" ht="14.25" customHeight="1" x14ac:dyDescent="0.3">
      <c r="A40" s="347"/>
      <c r="B40" s="350"/>
      <c r="C40" s="268"/>
      <c r="D40" s="284" t="s">
        <v>156</v>
      </c>
      <c r="E40" s="272">
        <v>9.3671058918873431</v>
      </c>
      <c r="F40" s="18" t="s">
        <v>55</v>
      </c>
      <c r="G40" s="270" t="s">
        <v>273</v>
      </c>
      <c r="H40" s="271">
        <v>240385.22222222222</v>
      </c>
      <c r="I40" s="18" t="s">
        <v>23</v>
      </c>
      <c r="J40" s="269"/>
      <c r="K40" s="269"/>
      <c r="L40" s="269"/>
      <c r="M40" s="269"/>
      <c r="N40" s="269"/>
      <c r="O40" s="277" t="s">
        <v>31</v>
      </c>
      <c r="P40" s="277">
        <v>1045.0494288</v>
      </c>
      <c r="Q40" s="278" t="s">
        <v>32</v>
      </c>
      <c r="R40" s="269"/>
      <c r="S40" s="269"/>
      <c r="T40" s="280"/>
      <c r="U40" s="282" t="s">
        <v>195</v>
      </c>
      <c r="V40" s="277">
        <v>9.3205033750122812</v>
      </c>
      <c r="W40" s="18" t="s">
        <v>55</v>
      </c>
      <c r="X40" s="269"/>
      <c r="Y40" s="269"/>
      <c r="Z40" s="269"/>
      <c r="AA40" s="269"/>
      <c r="AB40" s="269"/>
      <c r="AC40" s="269"/>
      <c r="AD40" s="265"/>
    </row>
    <row r="41" spans="1:30" s="264" customFormat="1" ht="14.25" customHeight="1" x14ac:dyDescent="0.3">
      <c r="A41" s="347"/>
      <c r="B41" s="350"/>
      <c r="C41" s="268"/>
      <c r="D41" s="284" t="s">
        <v>274</v>
      </c>
      <c r="E41" s="272">
        <v>0.20987664716035873</v>
      </c>
      <c r="F41" s="18" t="s">
        <v>55</v>
      </c>
      <c r="G41" s="281"/>
      <c r="H41" s="281"/>
      <c r="I41" s="281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80"/>
      <c r="U41" s="282" t="s">
        <v>275</v>
      </c>
      <c r="V41" s="277">
        <v>0.29333333333333333</v>
      </c>
      <c r="W41" s="18" t="s">
        <v>55</v>
      </c>
      <c r="X41" s="269"/>
      <c r="Y41" s="269"/>
      <c r="Z41" s="269"/>
      <c r="AA41" s="269"/>
      <c r="AB41" s="269"/>
      <c r="AC41" s="269"/>
      <c r="AD41" s="265"/>
    </row>
    <row r="42" spans="1:30" s="264" customFormat="1" ht="14.25" customHeight="1" x14ac:dyDescent="0.3">
      <c r="A42" s="347"/>
      <c r="B42" s="350"/>
      <c r="C42" s="268"/>
      <c r="D42" s="284" t="s">
        <v>126</v>
      </c>
      <c r="E42" s="272">
        <v>0.222451900812529</v>
      </c>
      <c r="F42" s="18" t="s">
        <v>55</v>
      </c>
      <c r="G42" s="281"/>
      <c r="H42" s="281"/>
      <c r="I42" s="281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80"/>
      <c r="U42" s="282" t="s">
        <v>276</v>
      </c>
      <c r="V42" s="277">
        <v>5.3333333333333339</v>
      </c>
      <c r="W42" s="18" t="s">
        <v>55</v>
      </c>
      <c r="X42" s="269"/>
      <c r="Y42" s="269"/>
      <c r="Z42" s="269"/>
      <c r="AA42" s="269"/>
      <c r="AB42" s="269"/>
      <c r="AC42" s="269"/>
      <c r="AD42" s="265"/>
    </row>
    <row r="43" spans="1:30" s="264" customFormat="1" ht="14.25" customHeight="1" x14ac:dyDescent="0.3">
      <c r="A43" s="347"/>
      <c r="B43" s="350"/>
      <c r="C43" s="268"/>
      <c r="D43" s="284" t="s">
        <v>127</v>
      </c>
      <c r="E43" s="272">
        <v>7.1187499122917816E-2</v>
      </c>
      <c r="F43" s="18" t="s">
        <v>55</v>
      </c>
      <c r="G43" s="281"/>
      <c r="H43" s="281"/>
      <c r="I43" s="281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80"/>
      <c r="U43" s="282" t="s">
        <v>277</v>
      </c>
      <c r="V43" s="277">
        <v>0.20987664716035873</v>
      </c>
      <c r="W43" s="18" t="s">
        <v>55</v>
      </c>
      <c r="X43" s="269"/>
      <c r="Y43" s="269"/>
      <c r="Z43" s="269"/>
      <c r="AA43" s="269"/>
      <c r="AB43" s="269"/>
      <c r="AC43" s="269"/>
      <c r="AD43" s="265"/>
    </row>
    <row r="44" spans="1:30" s="264" customFormat="1" ht="14.25" customHeight="1" x14ac:dyDescent="0.3">
      <c r="A44" s="347"/>
      <c r="B44" s="350"/>
      <c r="C44" s="268"/>
      <c r="D44" s="284" t="s">
        <v>128</v>
      </c>
      <c r="E44" s="272">
        <v>13.606666666666666</v>
      </c>
      <c r="F44" s="18" t="s">
        <v>55</v>
      </c>
      <c r="G44" s="281"/>
      <c r="H44" s="281"/>
      <c r="I44" s="281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80"/>
      <c r="U44" s="282" t="s">
        <v>278</v>
      </c>
      <c r="V44" s="277">
        <v>0.222451900812529</v>
      </c>
      <c r="W44" s="18" t="s">
        <v>55</v>
      </c>
      <c r="X44" s="269"/>
      <c r="Y44" s="269"/>
      <c r="Z44" s="269"/>
      <c r="AA44" s="269"/>
      <c r="AB44" s="269"/>
      <c r="AC44" s="269"/>
      <c r="AD44" s="265"/>
    </row>
    <row r="45" spans="1:30" s="264" customFormat="1" ht="14.25" customHeight="1" x14ac:dyDescent="0.3">
      <c r="A45" s="347"/>
      <c r="B45" s="350"/>
      <c r="C45" s="268"/>
      <c r="D45" s="269"/>
      <c r="E45" s="269"/>
      <c r="F45" s="269"/>
      <c r="G45" s="281"/>
      <c r="H45" s="281"/>
      <c r="I45" s="281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80"/>
      <c r="U45" s="282" t="s">
        <v>279</v>
      </c>
      <c r="V45" s="277">
        <v>7.1187499122917816E-2</v>
      </c>
      <c r="W45" s="18" t="s">
        <v>55</v>
      </c>
      <c r="X45" s="269"/>
      <c r="Y45" s="269"/>
      <c r="Z45" s="269"/>
      <c r="AA45" s="269"/>
      <c r="AB45" s="269"/>
      <c r="AC45" s="269"/>
      <c r="AD45" s="265"/>
    </row>
    <row r="46" spans="1:30" s="264" customFormat="1" ht="14.25" customHeight="1" x14ac:dyDescent="0.3">
      <c r="A46" s="347"/>
      <c r="B46" s="350"/>
      <c r="C46" s="268"/>
      <c r="D46" s="269"/>
      <c r="E46" s="269"/>
      <c r="F46" s="269"/>
      <c r="G46" s="273"/>
      <c r="H46" s="274"/>
      <c r="I46" s="275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80"/>
      <c r="U46" s="282" t="s">
        <v>280</v>
      </c>
      <c r="V46" s="277">
        <v>13.606666666666666</v>
      </c>
      <c r="W46" s="18" t="s">
        <v>55</v>
      </c>
      <c r="X46" s="269"/>
      <c r="Y46" s="269"/>
      <c r="Z46" s="269"/>
      <c r="AA46" s="269"/>
      <c r="AB46" s="269"/>
      <c r="AC46" s="269"/>
      <c r="AD46" s="265"/>
    </row>
    <row r="47" spans="1:30" s="264" customFormat="1" ht="14.25" customHeight="1" x14ac:dyDescent="0.3">
      <c r="A47" s="347"/>
      <c r="B47" s="350"/>
      <c r="C47" s="268"/>
      <c r="D47" s="269"/>
      <c r="E47" s="269"/>
      <c r="F47" s="269"/>
      <c r="G47" s="273"/>
      <c r="H47" s="276"/>
      <c r="I47" s="273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80"/>
      <c r="U47" s="282" t="s">
        <v>281</v>
      </c>
      <c r="V47" s="277">
        <v>1.1499999999999999</v>
      </c>
      <c r="W47" s="18" t="s">
        <v>55</v>
      </c>
      <c r="X47" s="269"/>
      <c r="Y47" s="269"/>
      <c r="Z47" s="269"/>
      <c r="AA47" s="269"/>
      <c r="AB47" s="269"/>
      <c r="AC47" s="269"/>
      <c r="AD47" s="265"/>
    </row>
    <row r="48" spans="1:30" s="264" customFormat="1" ht="14.25" customHeight="1" x14ac:dyDescent="0.3">
      <c r="A48" s="347"/>
      <c r="B48" s="350"/>
      <c r="C48" s="268"/>
      <c r="D48" s="269"/>
      <c r="E48" s="269"/>
      <c r="F48" s="269"/>
      <c r="G48" s="273"/>
      <c r="H48" s="276"/>
      <c r="I48" s="273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80"/>
      <c r="U48" s="282" t="s">
        <v>282</v>
      </c>
      <c r="V48" s="277">
        <v>3.4039910748116034E-2</v>
      </c>
      <c r="W48" s="18" t="s">
        <v>55</v>
      </c>
      <c r="X48" s="269"/>
      <c r="Y48" s="269"/>
      <c r="Z48" s="269"/>
      <c r="AA48" s="269"/>
      <c r="AB48" s="269"/>
      <c r="AC48" s="269"/>
      <c r="AD48" s="265"/>
    </row>
    <row r="49" spans="1:30" s="264" customFormat="1" ht="14.25" customHeight="1" x14ac:dyDescent="0.3">
      <c r="A49" s="348"/>
      <c r="B49" s="351"/>
      <c r="C49" s="268"/>
      <c r="D49" s="269"/>
      <c r="E49" s="269"/>
      <c r="F49" s="269"/>
      <c r="G49" s="273"/>
      <c r="H49" s="276"/>
      <c r="I49" s="273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80"/>
      <c r="U49" s="269"/>
      <c r="V49" s="269"/>
      <c r="W49" s="269"/>
      <c r="X49" s="269"/>
      <c r="Y49" s="269"/>
      <c r="Z49" s="269"/>
      <c r="AA49" s="269"/>
      <c r="AB49" s="269"/>
      <c r="AC49" s="269"/>
      <c r="AD49" s="265"/>
    </row>
    <row r="50" spans="1:30" ht="14.25" customHeight="1" x14ac:dyDescent="0.3"/>
    <row r="51" spans="1:30" ht="14.25" customHeight="1" x14ac:dyDescent="0.3">
      <c r="B51" s="31" t="s">
        <v>65</v>
      </c>
      <c r="C51" s="32">
        <v>3687229</v>
      </c>
      <c r="D51" s="32" t="s">
        <v>55</v>
      </c>
      <c r="H51" s="33"/>
      <c r="O51" s="370" t="s">
        <v>66</v>
      </c>
      <c r="P51" s="371"/>
      <c r="Q51" s="371"/>
      <c r="R51" s="371"/>
      <c r="S51" s="371"/>
      <c r="T51" s="372"/>
    </row>
    <row r="52" spans="1:30" ht="14.25" customHeight="1" x14ac:dyDescent="0.3">
      <c r="H52" s="33"/>
      <c r="O52" s="34" t="s">
        <v>67</v>
      </c>
      <c r="P52" s="35" t="s">
        <v>68</v>
      </c>
      <c r="Q52" s="35" t="s">
        <v>8</v>
      </c>
      <c r="R52" s="370" t="s">
        <v>69</v>
      </c>
      <c r="S52" s="371"/>
      <c r="T52" s="372"/>
    </row>
    <row r="53" spans="1:30" ht="14.25" customHeight="1" x14ac:dyDescent="0.3">
      <c r="H53" s="33"/>
      <c r="O53" s="36" t="s">
        <v>70</v>
      </c>
      <c r="P53" s="37">
        <v>0.12468</v>
      </c>
      <c r="Q53" s="36" t="s">
        <v>71</v>
      </c>
      <c r="R53" s="363" t="s">
        <v>72</v>
      </c>
      <c r="S53" s="364"/>
      <c r="T53" s="365"/>
    </row>
    <row r="54" spans="1:30" ht="14.25" customHeight="1" x14ac:dyDescent="0.3">
      <c r="O54" s="36" t="s">
        <v>73</v>
      </c>
      <c r="P54" s="37">
        <v>1.8959600000000001</v>
      </c>
      <c r="Q54" s="36" t="s">
        <v>74</v>
      </c>
      <c r="R54" s="366"/>
      <c r="S54" s="367"/>
      <c r="T54" s="368"/>
    </row>
    <row r="55" spans="1:30" ht="14.25" customHeight="1" x14ac:dyDescent="0.3">
      <c r="O55" s="38" t="s">
        <v>75</v>
      </c>
      <c r="P55" s="39">
        <v>0.13328000000000001</v>
      </c>
      <c r="Q55" s="38" t="s">
        <v>76</v>
      </c>
      <c r="R55" s="369"/>
      <c r="S55" s="360"/>
      <c r="T55" s="361"/>
    </row>
    <row r="56" spans="1:30" ht="14.25" customHeight="1" x14ac:dyDescent="0.3">
      <c r="O56" s="36" t="s">
        <v>31</v>
      </c>
      <c r="P56" s="37">
        <v>74.099999999999994</v>
      </c>
      <c r="Q56" s="36" t="s">
        <v>77</v>
      </c>
      <c r="R56" s="363" t="s">
        <v>78</v>
      </c>
      <c r="S56" s="364"/>
      <c r="T56" s="365"/>
    </row>
    <row r="57" spans="1:30" ht="14.25" customHeight="1" x14ac:dyDescent="0.3">
      <c r="O57" s="38" t="s">
        <v>79</v>
      </c>
      <c r="P57" s="39">
        <v>3.0000000000000001E-3</v>
      </c>
      <c r="Q57" s="38" t="s">
        <v>80</v>
      </c>
      <c r="R57" s="366"/>
      <c r="S57" s="367"/>
      <c r="T57" s="368"/>
    </row>
    <row r="58" spans="1:30" ht="14.25" customHeight="1" x14ac:dyDescent="0.3">
      <c r="O58" s="38" t="s">
        <v>81</v>
      </c>
      <c r="P58" s="39">
        <v>5.9999999999999995E-4</v>
      </c>
      <c r="Q58" s="38" t="s">
        <v>82</v>
      </c>
      <c r="R58" s="369"/>
      <c r="S58" s="360"/>
      <c r="T58" s="361"/>
    </row>
    <row r="59" spans="1:30" ht="14.25" customHeight="1" x14ac:dyDescent="0.35">
      <c r="O59" s="34" t="s">
        <v>83</v>
      </c>
      <c r="P59" s="35" t="s">
        <v>8</v>
      </c>
      <c r="Q59" s="40"/>
      <c r="R59" s="359"/>
      <c r="S59" s="360"/>
      <c r="T59" s="361"/>
    </row>
    <row r="60" spans="1:30" ht="14.25" customHeight="1" x14ac:dyDescent="0.35">
      <c r="O60" s="41">
        <f>36*10^-6</f>
        <v>3.6000000000000001E-5</v>
      </c>
      <c r="P60" s="37" t="s">
        <v>84</v>
      </c>
      <c r="Q60" s="40"/>
      <c r="R60" s="359"/>
      <c r="S60" s="360"/>
      <c r="T60" s="361"/>
    </row>
    <row r="61" spans="1:30" ht="14.25" customHeight="1" x14ac:dyDescent="0.3"/>
    <row r="62" spans="1:30" ht="14.25" customHeight="1" x14ac:dyDescent="0.3"/>
    <row r="63" spans="1:30" ht="14.25" customHeight="1" x14ac:dyDescent="0.3"/>
    <row r="64" spans="1:30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</sheetData>
  <mergeCells count="53">
    <mergeCell ref="E2:E3"/>
    <mergeCell ref="F2:F3"/>
    <mergeCell ref="A8:A11"/>
    <mergeCell ref="B8:B11"/>
    <mergeCell ref="B12:B17"/>
    <mergeCell ref="A4:A7"/>
    <mergeCell ref="B4:B7"/>
    <mergeCell ref="Y2:Y3"/>
    <mergeCell ref="Z2:Z3"/>
    <mergeCell ref="AA2:AA3"/>
    <mergeCell ref="Q2:Q3"/>
    <mergeCell ref="R2:R3"/>
    <mergeCell ref="U2:U3"/>
    <mergeCell ref="M2:N2"/>
    <mergeCell ref="AB2:AB3"/>
    <mergeCell ref="AC2:AC3"/>
    <mergeCell ref="AD1:AD3"/>
    <mergeCell ref="D2:D3"/>
    <mergeCell ref="G2:G3"/>
    <mergeCell ref="H2:H3"/>
    <mergeCell ref="I2:I3"/>
    <mergeCell ref="J2:J3"/>
    <mergeCell ref="K2:K3"/>
    <mergeCell ref="V2:V3"/>
    <mergeCell ref="W2:W3"/>
    <mergeCell ref="X2:X3"/>
    <mergeCell ref="D1:N1"/>
    <mergeCell ref="O1:AC1"/>
    <mergeCell ref="L2:L3"/>
    <mergeCell ref="R60:T60"/>
    <mergeCell ref="T2:T3"/>
    <mergeCell ref="R53:T55"/>
    <mergeCell ref="R56:T58"/>
    <mergeCell ref="R59:T59"/>
    <mergeCell ref="O51:T51"/>
    <mergeCell ref="R52:T52"/>
    <mergeCell ref="O2:O3"/>
    <mergeCell ref="S2:S3"/>
    <mergeCell ref="P2:P3"/>
    <mergeCell ref="A39:A49"/>
    <mergeCell ref="B39:B49"/>
    <mergeCell ref="A1:A3"/>
    <mergeCell ref="B1:B3"/>
    <mergeCell ref="C1:C3"/>
    <mergeCell ref="A30:A38"/>
    <mergeCell ref="B30:B38"/>
    <mergeCell ref="A12:A17"/>
    <mergeCell ref="A26:A29"/>
    <mergeCell ref="B26:B29"/>
    <mergeCell ref="A18:A21"/>
    <mergeCell ref="B18:B21"/>
    <mergeCell ref="A22:A25"/>
    <mergeCell ref="B22:B25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AD1015"/>
  <sheetViews>
    <sheetView tabSelected="1" topLeftCell="C1" zoomScale="70" zoomScaleNormal="70" workbookViewId="0">
      <selection activeCell="J22" sqref="J22"/>
    </sheetView>
  </sheetViews>
  <sheetFormatPr defaultColWidth="12.58203125" defaultRowHeight="15" customHeight="1" x14ac:dyDescent="0.3"/>
  <cols>
    <col min="1" max="1" width="4.5" customWidth="1"/>
    <col min="2" max="2" width="25.25" customWidth="1"/>
    <col min="3" max="3" width="20.83203125" customWidth="1"/>
    <col min="4" max="4" width="23.25" customWidth="1"/>
    <col min="5" max="5" width="12.08203125" customWidth="1"/>
    <col min="6" max="6" width="10.08203125" customWidth="1"/>
    <col min="7" max="7" width="13.25" customWidth="1"/>
    <col min="8" max="8" width="12.08203125" customWidth="1"/>
    <col min="9" max="9" width="9.08203125" customWidth="1"/>
    <col min="10" max="10" width="16.83203125" customWidth="1"/>
    <col min="11" max="11" width="11.58203125" customWidth="1"/>
    <col min="12" max="12" width="11" customWidth="1"/>
    <col min="13" max="13" width="11.5" customWidth="1"/>
    <col min="14" max="14" width="7.58203125" customWidth="1"/>
    <col min="15" max="15" width="11.58203125" customWidth="1"/>
    <col min="16" max="16" width="13.58203125" customWidth="1"/>
    <col min="17" max="17" width="12.33203125" customWidth="1"/>
    <col min="18" max="18" width="22.58203125" customWidth="1"/>
    <col min="19" max="19" width="14.08203125" customWidth="1"/>
    <col min="20" max="20" width="10.33203125" customWidth="1"/>
    <col min="21" max="21" width="10" customWidth="1"/>
    <col min="22" max="22" width="9.1640625" customWidth="1"/>
    <col min="23" max="23" width="7.58203125" customWidth="1"/>
    <col min="24" max="24" width="10.83203125" customWidth="1"/>
    <col min="25" max="25" width="8.58203125" bestFit="1" customWidth="1"/>
    <col min="26" max="26" width="7.58203125" customWidth="1"/>
    <col min="27" max="27" width="14.33203125" customWidth="1"/>
    <col min="28" max="29" width="7.58203125" customWidth="1"/>
    <col min="30" max="30" width="22" customWidth="1"/>
  </cols>
  <sheetData>
    <row r="1" spans="1:30" ht="14.25" customHeight="1" x14ac:dyDescent="0.3">
      <c r="A1" s="352" t="s">
        <v>0</v>
      </c>
      <c r="B1" s="352" t="s">
        <v>1</v>
      </c>
      <c r="C1" s="355" t="s">
        <v>2</v>
      </c>
      <c r="D1" s="376" t="s">
        <v>3</v>
      </c>
      <c r="E1" s="371"/>
      <c r="F1" s="371"/>
      <c r="G1" s="371"/>
      <c r="H1" s="371"/>
      <c r="I1" s="371"/>
      <c r="J1" s="371"/>
      <c r="K1" s="371"/>
      <c r="L1" s="371"/>
      <c r="M1" s="371"/>
      <c r="N1" s="372"/>
      <c r="O1" s="377" t="s">
        <v>4</v>
      </c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2"/>
      <c r="AD1" s="374" t="s">
        <v>5</v>
      </c>
    </row>
    <row r="2" spans="1:30" ht="40.5" customHeight="1" x14ac:dyDescent="0.3">
      <c r="A2" s="353"/>
      <c r="B2" s="353"/>
      <c r="C2" s="353"/>
      <c r="D2" s="375" t="s">
        <v>6</v>
      </c>
      <c r="E2" s="375" t="s">
        <v>7</v>
      </c>
      <c r="F2" s="375" t="s">
        <v>8</v>
      </c>
      <c r="G2" s="375" t="s">
        <v>9</v>
      </c>
      <c r="H2" s="375" t="s">
        <v>7</v>
      </c>
      <c r="I2" s="375" t="s">
        <v>8</v>
      </c>
      <c r="J2" s="375" t="s">
        <v>10</v>
      </c>
      <c r="K2" s="375" t="s">
        <v>7</v>
      </c>
      <c r="L2" s="375" t="s">
        <v>8</v>
      </c>
      <c r="M2" s="373" t="s">
        <v>11</v>
      </c>
      <c r="N2" s="372"/>
      <c r="O2" s="362" t="s">
        <v>12</v>
      </c>
      <c r="P2" s="362" t="s">
        <v>7</v>
      </c>
      <c r="Q2" s="362" t="s">
        <v>8</v>
      </c>
      <c r="R2" s="362" t="s">
        <v>13</v>
      </c>
      <c r="S2" s="362" t="s">
        <v>7</v>
      </c>
      <c r="T2" s="362" t="s">
        <v>8</v>
      </c>
      <c r="U2" s="362" t="s">
        <v>14</v>
      </c>
      <c r="V2" s="362" t="s">
        <v>7</v>
      </c>
      <c r="W2" s="362" t="s">
        <v>8</v>
      </c>
      <c r="X2" s="362" t="s">
        <v>15</v>
      </c>
      <c r="Y2" s="362" t="s">
        <v>7</v>
      </c>
      <c r="Z2" s="362" t="s">
        <v>8</v>
      </c>
      <c r="AA2" s="362" t="s">
        <v>16</v>
      </c>
      <c r="AB2" s="362" t="s">
        <v>7</v>
      </c>
      <c r="AC2" s="362" t="s">
        <v>8</v>
      </c>
      <c r="AD2" s="353"/>
    </row>
    <row r="3" spans="1:30" ht="14.25" customHeight="1" x14ac:dyDescent="0.3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1" t="s">
        <v>17</v>
      </c>
      <c r="N3" s="1" t="s">
        <v>8</v>
      </c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</row>
    <row r="4" spans="1:30" ht="14.25" customHeight="1" x14ac:dyDescent="0.3">
      <c r="A4" s="378">
        <v>1</v>
      </c>
      <c r="B4" s="358" t="s">
        <v>18</v>
      </c>
      <c r="C4" s="2" t="s">
        <v>19</v>
      </c>
      <c r="D4" s="3" t="s">
        <v>20</v>
      </c>
      <c r="E4" s="42">
        <f>Inventori!E4/Inventori!C51</f>
        <v>9.0327994274291078E-5</v>
      </c>
      <c r="F4" s="4" t="s">
        <v>199</v>
      </c>
      <c r="G4" s="5" t="s">
        <v>22</v>
      </c>
      <c r="H4" s="43">
        <f>(Inventori!H4/Inventori!C51)*0.88</f>
        <v>5.2029606346859013E-2</v>
      </c>
      <c r="I4" s="6" t="s">
        <v>203</v>
      </c>
      <c r="J4" s="7"/>
      <c r="K4" s="7"/>
      <c r="L4" s="7"/>
      <c r="M4" s="7"/>
      <c r="N4" s="7"/>
      <c r="O4" s="8" t="s">
        <v>24</v>
      </c>
      <c r="P4" s="44">
        <f>(Inventori!P4/Inventori!C51)*1000</f>
        <v>2.6537937215426107E-4</v>
      </c>
      <c r="Q4" s="9" t="s">
        <v>205</v>
      </c>
      <c r="R4" s="10" t="s">
        <v>26</v>
      </c>
      <c r="S4" s="42">
        <f>Inventori!S4/Inventori!C51</f>
        <v>6.4818322919460664E-5</v>
      </c>
      <c r="T4" s="11" t="s">
        <v>208</v>
      </c>
      <c r="U4" s="12"/>
      <c r="V4" s="12"/>
      <c r="W4" s="12"/>
      <c r="X4" s="13"/>
      <c r="Y4" s="13"/>
      <c r="Z4" s="13"/>
      <c r="AA4" s="13"/>
      <c r="AB4" s="13"/>
      <c r="AC4" s="13"/>
      <c r="AD4" s="14"/>
    </row>
    <row r="5" spans="1:30" ht="14.25" customHeight="1" x14ac:dyDescent="0.3">
      <c r="A5" s="353"/>
      <c r="B5" s="353"/>
      <c r="C5" s="15" t="s">
        <v>28</v>
      </c>
      <c r="D5" s="7"/>
      <c r="E5" s="45"/>
      <c r="F5" s="16"/>
      <c r="G5" s="7"/>
      <c r="H5" s="45"/>
      <c r="I5" s="16"/>
      <c r="J5" s="7"/>
      <c r="K5" s="7"/>
      <c r="L5" s="7"/>
      <c r="M5" s="7"/>
      <c r="N5" s="7"/>
      <c r="O5" s="17" t="s">
        <v>29</v>
      </c>
      <c r="P5" s="44">
        <f>Inventori!P5/Inventori!C51*1000</f>
        <v>4.0355203274750791E-3</v>
      </c>
      <c r="Q5" s="18" t="s">
        <v>206</v>
      </c>
      <c r="R5" s="7"/>
      <c r="S5" s="16"/>
      <c r="T5" s="7"/>
      <c r="U5" s="7"/>
      <c r="V5" s="7"/>
      <c r="W5" s="7"/>
      <c r="X5" s="13"/>
      <c r="Y5" s="13"/>
      <c r="Z5" s="13"/>
      <c r="AA5" s="13"/>
      <c r="AB5" s="13"/>
      <c r="AC5" s="13"/>
      <c r="AD5" s="14"/>
    </row>
    <row r="6" spans="1:30" ht="14.25" customHeight="1" x14ac:dyDescent="0.3">
      <c r="A6" s="353"/>
      <c r="B6" s="353"/>
      <c r="C6" s="15"/>
      <c r="D6" s="7"/>
      <c r="E6" s="45"/>
      <c r="F6" s="16"/>
      <c r="G6" s="7"/>
      <c r="H6" s="45"/>
      <c r="I6" s="16"/>
      <c r="J6" s="7"/>
      <c r="K6" s="7"/>
      <c r="L6" s="7"/>
      <c r="M6" s="7"/>
      <c r="N6" s="7"/>
      <c r="O6" s="17" t="s">
        <v>31</v>
      </c>
      <c r="P6" s="44">
        <f>Inventori!P6/Inventori!C51*1000</f>
        <v>0.15772065669418306</v>
      </c>
      <c r="Q6" s="18" t="s">
        <v>207</v>
      </c>
      <c r="R6" s="7"/>
      <c r="S6" s="16"/>
      <c r="T6" s="7"/>
      <c r="U6" s="7"/>
      <c r="V6" s="7"/>
      <c r="W6" s="7"/>
      <c r="X6" s="13"/>
      <c r="Y6" s="13"/>
      <c r="Z6" s="13"/>
      <c r="AA6" s="13"/>
      <c r="AB6" s="13"/>
      <c r="AC6" s="13"/>
      <c r="AD6" s="14"/>
    </row>
    <row r="7" spans="1:30" ht="14.25" customHeight="1" x14ac:dyDescent="0.3">
      <c r="A7" s="354"/>
      <c r="B7" s="354"/>
      <c r="C7" s="15"/>
      <c r="D7" s="7"/>
      <c r="E7" s="45"/>
      <c r="F7" s="16"/>
      <c r="G7" s="7"/>
      <c r="H7" s="45"/>
      <c r="I7" s="16"/>
      <c r="J7" s="7"/>
      <c r="K7" s="7"/>
      <c r="L7" s="7"/>
      <c r="M7" s="7"/>
      <c r="N7" s="7"/>
      <c r="O7" s="7"/>
      <c r="P7" s="46"/>
      <c r="Q7" s="16"/>
      <c r="R7" s="7"/>
      <c r="S7" s="16"/>
      <c r="T7" s="7"/>
      <c r="U7" s="7"/>
      <c r="V7" s="7"/>
      <c r="W7" s="7"/>
      <c r="X7" s="13"/>
      <c r="Y7" s="13"/>
      <c r="Z7" s="13"/>
      <c r="AA7" s="13"/>
      <c r="AB7" s="13"/>
      <c r="AC7" s="13"/>
      <c r="AD7" s="14"/>
    </row>
    <row r="8" spans="1:30" ht="14.25" customHeight="1" x14ac:dyDescent="0.3">
      <c r="A8" s="356">
        <v>2</v>
      </c>
      <c r="B8" s="379" t="s">
        <v>33</v>
      </c>
      <c r="C8" s="2" t="s">
        <v>19</v>
      </c>
      <c r="D8" s="5" t="s">
        <v>34</v>
      </c>
      <c r="E8" s="43">
        <f>Inventori!E8/Inventori!C51</f>
        <v>0.26383552526843329</v>
      </c>
      <c r="F8" s="18" t="s">
        <v>200</v>
      </c>
      <c r="G8" s="5" t="s">
        <v>22</v>
      </c>
      <c r="H8" s="43">
        <f>(Inventori!H8/Inventori!C51)*0.88</f>
        <v>0.36838263291716555</v>
      </c>
      <c r="I8" s="18" t="s">
        <v>203</v>
      </c>
      <c r="J8" s="7"/>
      <c r="K8" s="7"/>
      <c r="L8" s="7"/>
      <c r="M8" s="7"/>
      <c r="N8" s="7"/>
      <c r="O8" s="8" t="s">
        <v>24</v>
      </c>
      <c r="P8" s="44">
        <f>Inventori!P8/Inventori!C51*1000</f>
        <v>1.8789523638591357E-3</v>
      </c>
      <c r="Q8" s="20" t="s">
        <v>205</v>
      </c>
      <c r="R8" s="19" t="s">
        <v>34</v>
      </c>
      <c r="S8" s="43">
        <f>E8</f>
        <v>0.26383552526843329</v>
      </c>
      <c r="T8" s="20" t="s">
        <v>200</v>
      </c>
      <c r="U8" s="7"/>
      <c r="V8" s="7"/>
      <c r="W8" s="7"/>
      <c r="X8" s="13"/>
      <c r="Y8" s="13"/>
      <c r="Z8" s="13"/>
      <c r="AA8" s="13"/>
      <c r="AB8" s="13"/>
      <c r="AC8" s="13"/>
      <c r="AD8" s="14"/>
    </row>
    <row r="9" spans="1:30" ht="14.25" customHeight="1" x14ac:dyDescent="0.3">
      <c r="A9" s="353"/>
      <c r="B9" s="353"/>
      <c r="C9" s="2" t="s">
        <v>36</v>
      </c>
      <c r="D9" s="7"/>
      <c r="E9" s="45"/>
      <c r="F9" s="16"/>
      <c r="G9" s="7"/>
      <c r="H9" s="45"/>
      <c r="I9" s="16"/>
      <c r="J9" s="7"/>
      <c r="K9" s="7"/>
      <c r="L9" s="7"/>
      <c r="M9" s="7"/>
      <c r="N9" s="7"/>
      <c r="O9" s="17" t="s">
        <v>29</v>
      </c>
      <c r="P9" s="44">
        <f>Inventori!P9/Inventori!C51*1000</f>
        <v>2.8572493774321198E-2</v>
      </c>
      <c r="Q9" s="18" t="s">
        <v>206</v>
      </c>
      <c r="R9" s="21"/>
      <c r="S9" s="16"/>
      <c r="T9" s="21"/>
      <c r="U9" s="7"/>
      <c r="V9" s="7"/>
      <c r="W9" s="7"/>
      <c r="X9" s="13"/>
      <c r="Y9" s="13"/>
      <c r="Z9" s="13"/>
      <c r="AA9" s="13"/>
      <c r="AB9" s="13"/>
      <c r="AC9" s="13"/>
      <c r="AD9" s="14"/>
    </row>
    <row r="10" spans="1:30" ht="14.25" customHeight="1" x14ac:dyDescent="0.3">
      <c r="A10" s="353"/>
      <c r="B10" s="353"/>
      <c r="C10" s="2"/>
      <c r="D10" s="7"/>
      <c r="E10" s="45"/>
      <c r="F10" s="16"/>
      <c r="G10" s="7"/>
      <c r="H10" s="45"/>
      <c r="I10" s="16"/>
      <c r="J10" s="7"/>
      <c r="K10" s="7"/>
      <c r="L10" s="7"/>
      <c r="M10" s="7"/>
      <c r="N10" s="7"/>
      <c r="O10" s="17" t="s">
        <v>31</v>
      </c>
      <c r="P10" s="44">
        <f>Inventori!P10/Inventori!C51*1000</f>
        <v>1.1167017176929894</v>
      </c>
      <c r="Q10" s="18" t="s">
        <v>207</v>
      </c>
      <c r="R10" s="21"/>
      <c r="S10" s="16"/>
      <c r="T10" s="21"/>
      <c r="U10" s="7"/>
      <c r="V10" s="7"/>
      <c r="W10" s="7"/>
      <c r="X10" s="13"/>
      <c r="Y10" s="13"/>
      <c r="Z10" s="13"/>
      <c r="AA10" s="13"/>
      <c r="AB10" s="13"/>
      <c r="AC10" s="13"/>
      <c r="AD10" s="14"/>
    </row>
    <row r="11" spans="1:30" ht="14.25" customHeight="1" x14ac:dyDescent="0.3">
      <c r="A11" s="354"/>
      <c r="B11" s="354"/>
      <c r="C11" s="2"/>
      <c r="D11" s="7"/>
      <c r="E11" s="45"/>
      <c r="F11" s="16"/>
      <c r="G11" s="7"/>
      <c r="H11" s="45"/>
      <c r="I11" s="16"/>
      <c r="J11" s="7"/>
      <c r="K11" s="7"/>
      <c r="L11" s="7"/>
      <c r="M11" s="7"/>
      <c r="N11" s="7"/>
      <c r="O11" s="21"/>
      <c r="P11" s="46"/>
      <c r="Q11" s="22"/>
      <c r="R11" s="21"/>
      <c r="S11" s="16"/>
      <c r="T11" s="21"/>
      <c r="U11" s="7"/>
      <c r="V11" s="7"/>
      <c r="W11" s="7"/>
      <c r="X11" s="13"/>
      <c r="Y11" s="13"/>
      <c r="Z11" s="13"/>
      <c r="AA11" s="13"/>
      <c r="AB11" s="13"/>
      <c r="AC11" s="13"/>
      <c r="AD11" s="14"/>
    </row>
    <row r="12" spans="1:30" ht="14.25" customHeight="1" x14ac:dyDescent="0.3">
      <c r="A12" s="356">
        <v>3</v>
      </c>
      <c r="B12" s="379" t="s">
        <v>37</v>
      </c>
      <c r="C12" s="10" t="s">
        <v>38</v>
      </c>
      <c r="D12" s="5" t="s">
        <v>39</v>
      </c>
      <c r="E12" s="47">
        <f>Inventori!E12/Inventori!C51</f>
        <v>24.839966543981944</v>
      </c>
      <c r="F12" s="23" t="s">
        <v>201</v>
      </c>
      <c r="G12" s="5" t="s">
        <v>22</v>
      </c>
      <c r="H12" s="43">
        <f>(Inventori!H12/Inventori!C51)*0.88</f>
        <v>8.9641777063480463E-2</v>
      </c>
      <c r="I12" s="18" t="s">
        <v>203</v>
      </c>
      <c r="J12" s="10" t="s">
        <v>41</v>
      </c>
      <c r="K12" s="48">
        <f>Inventori!K12/Inventori!C51</f>
        <v>2.5838915890496632E-2</v>
      </c>
      <c r="L12" s="6" t="s">
        <v>203</v>
      </c>
      <c r="M12" s="7"/>
      <c r="N12" s="7"/>
      <c r="O12" s="8" t="s">
        <v>24</v>
      </c>
      <c r="P12" s="44">
        <f>Inventori!P12/Inventori!C51*1000</f>
        <v>4.572219585385123E-4</v>
      </c>
      <c r="Q12" s="20" t="s">
        <v>205</v>
      </c>
      <c r="R12" s="19" t="s">
        <v>43</v>
      </c>
      <c r="S12" s="49">
        <f>Inventori!S12/Inventori!C51</f>
        <v>22.057890291055969</v>
      </c>
      <c r="T12" s="20" t="s">
        <v>201</v>
      </c>
      <c r="U12" s="7"/>
      <c r="V12" s="7"/>
      <c r="W12" s="7"/>
      <c r="X12" s="13"/>
      <c r="Y12" s="13"/>
      <c r="Z12" s="13"/>
      <c r="AA12" s="13"/>
      <c r="AB12" s="13"/>
      <c r="AC12" s="13"/>
      <c r="AD12" s="14"/>
    </row>
    <row r="13" spans="1:30" ht="14.25" customHeight="1" x14ac:dyDescent="0.3">
      <c r="A13" s="353"/>
      <c r="B13" s="353"/>
      <c r="C13" s="10"/>
      <c r="D13" s="7"/>
      <c r="E13" s="45"/>
      <c r="F13" s="16"/>
      <c r="G13" s="7"/>
      <c r="H13" s="45"/>
      <c r="I13" s="16"/>
      <c r="J13" s="10" t="s">
        <v>44</v>
      </c>
      <c r="K13" s="48">
        <f>Inventori!K13/Inventori!C51</f>
        <v>3.4478466078456207E-3</v>
      </c>
      <c r="L13" s="6" t="s">
        <v>203</v>
      </c>
      <c r="M13" s="7"/>
      <c r="N13" s="7"/>
      <c r="O13" s="17" t="s">
        <v>29</v>
      </c>
      <c r="P13" s="44">
        <f>Inventori!P13/Inventori!C51*1000</f>
        <v>6.9527955125976721E-3</v>
      </c>
      <c r="Q13" s="18" t="s">
        <v>206</v>
      </c>
      <c r="R13" s="7"/>
      <c r="S13" s="16"/>
      <c r="T13" s="7"/>
      <c r="U13" s="7"/>
      <c r="V13" s="7"/>
      <c r="W13" s="7"/>
      <c r="X13" s="13"/>
      <c r="Y13" s="13"/>
      <c r="Z13" s="13"/>
      <c r="AA13" s="13"/>
      <c r="AB13" s="13"/>
      <c r="AC13" s="13"/>
      <c r="AD13" s="14"/>
    </row>
    <row r="14" spans="1:30" ht="14.25" customHeight="1" x14ac:dyDescent="0.3">
      <c r="A14" s="353"/>
      <c r="B14" s="353"/>
      <c r="C14" s="10"/>
      <c r="D14" s="7"/>
      <c r="E14" s="45"/>
      <c r="F14" s="16"/>
      <c r="G14" s="7"/>
      <c r="H14" s="45"/>
      <c r="I14" s="16"/>
      <c r="J14" s="10" t="s">
        <v>45</v>
      </c>
      <c r="K14" s="48">
        <f>Inventori!K14/Inventori!C51</f>
        <v>0.71937191858710159</v>
      </c>
      <c r="L14" s="4" t="s">
        <v>203</v>
      </c>
      <c r="M14" s="7"/>
      <c r="N14" s="7"/>
      <c r="O14" s="17" t="s">
        <v>31</v>
      </c>
      <c r="P14" s="44">
        <f>Inventori!P14/Inventori!C51*1000</f>
        <v>0.27173682328925053</v>
      </c>
      <c r="Q14" s="18" t="s">
        <v>207</v>
      </c>
      <c r="R14" s="7"/>
      <c r="S14" s="16"/>
      <c r="T14" s="7"/>
      <c r="U14" s="7"/>
      <c r="V14" s="7"/>
      <c r="W14" s="7"/>
      <c r="X14" s="13"/>
      <c r="Y14" s="13"/>
      <c r="Z14" s="13"/>
      <c r="AA14" s="13"/>
      <c r="AB14" s="13"/>
      <c r="AC14" s="13"/>
      <c r="AD14" s="14"/>
    </row>
    <row r="15" spans="1:30" ht="14.25" customHeight="1" x14ac:dyDescent="0.3">
      <c r="A15" s="353"/>
      <c r="B15" s="353"/>
      <c r="C15" s="10"/>
      <c r="D15" s="7"/>
      <c r="E15" s="45"/>
      <c r="F15" s="16"/>
      <c r="G15" s="7"/>
      <c r="H15" s="45"/>
      <c r="I15" s="16"/>
      <c r="J15" s="10" t="s">
        <v>46</v>
      </c>
      <c r="K15" s="48">
        <f>Inventori!K15/Inventori!C51</f>
        <v>1.0797875586246475</v>
      </c>
      <c r="L15" s="4" t="s">
        <v>203</v>
      </c>
      <c r="M15" s="7"/>
      <c r="N15" s="7"/>
      <c r="O15" s="24"/>
      <c r="P15" s="16"/>
      <c r="Q15" s="25"/>
      <c r="R15" s="7"/>
      <c r="S15" s="16"/>
      <c r="T15" s="7"/>
      <c r="U15" s="7"/>
      <c r="V15" s="7"/>
      <c r="W15" s="7"/>
      <c r="X15" s="13"/>
      <c r="Y15" s="13"/>
      <c r="Z15" s="13"/>
      <c r="AA15" s="13"/>
      <c r="AB15" s="13"/>
      <c r="AC15" s="13"/>
      <c r="AD15" s="14"/>
    </row>
    <row r="16" spans="1:30" ht="14.25" customHeight="1" x14ac:dyDescent="0.3">
      <c r="A16" s="353"/>
      <c r="B16" s="353"/>
      <c r="C16" s="10"/>
      <c r="D16" s="7"/>
      <c r="E16" s="45"/>
      <c r="F16" s="16"/>
      <c r="G16" s="7"/>
      <c r="H16" s="45"/>
      <c r="I16" s="16"/>
      <c r="J16" s="3" t="s">
        <v>47</v>
      </c>
      <c r="K16" s="48">
        <f>Inventori!K16/Inventori!C51</f>
        <v>3.1853188397032023E-2</v>
      </c>
      <c r="L16" s="4" t="s">
        <v>204</v>
      </c>
      <c r="M16" s="7"/>
      <c r="N16" s="7"/>
      <c r="O16" s="24"/>
      <c r="P16" s="16"/>
      <c r="Q16" s="25"/>
      <c r="R16" s="7"/>
      <c r="S16" s="16"/>
      <c r="T16" s="7"/>
      <c r="U16" s="7"/>
      <c r="V16" s="7"/>
      <c r="W16" s="7"/>
      <c r="X16" s="13"/>
      <c r="Y16" s="13"/>
      <c r="Z16" s="13"/>
      <c r="AA16" s="13"/>
      <c r="AB16" s="13"/>
      <c r="AC16" s="13"/>
      <c r="AD16" s="14"/>
    </row>
    <row r="17" spans="1:30" ht="14.25" customHeight="1" x14ac:dyDescent="0.35">
      <c r="A17" s="354"/>
      <c r="B17" s="354"/>
      <c r="C17" s="10"/>
      <c r="D17" s="7"/>
      <c r="E17" s="45"/>
      <c r="F17" s="16"/>
      <c r="G17" s="7"/>
      <c r="H17" s="45"/>
      <c r="I17" s="16"/>
      <c r="J17" s="26"/>
      <c r="K17" s="26"/>
      <c r="L17" s="26"/>
      <c r="M17" s="7"/>
      <c r="N17" s="7"/>
      <c r="O17" s="7"/>
      <c r="P17" s="16"/>
      <c r="Q17" s="16"/>
      <c r="R17" s="7"/>
      <c r="S17" s="16"/>
      <c r="T17" s="7"/>
      <c r="U17" s="7"/>
      <c r="V17" s="7"/>
      <c r="W17" s="7"/>
      <c r="X17" s="13"/>
      <c r="Y17" s="13"/>
      <c r="Z17" s="13"/>
      <c r="AA17" s="13"/>
      <c r="AB17" s="13"/>
      <c r="AC17" s="13"/>
      <c r="AD17" s="14"/>
    </row>
    <row r="18" spans="1:30" ht="14.25" customHeight="1" x14ac:dyDescent="0.3">
      <c r="A18" s="378">
        <v>4</v>
      </c>
      <c r="B18" s="358" t="s">
        <v>49</v>
      </c>
      <c r="C18" s="14" t="s">
        <v>19</v>
      </c>
      <c r="D18" s="5" t="s">
        <v>50</v>
      </c>
      <c r="E18" s="43">
        <f>E12</f>
        <v>24.839966543981944</v>
      </c>
      <c r="F18" s="6" t="s">
        <v>201</v>
      </c>
      <c r="G18" s="3" t="s">
        <v>22</v>
      </c>
      <c r="H18" s="50">
        <f>(Inventori!H18/Inventori!C51)*0.88</f>
        <v>9.197851763478754</v>
      </c>
      <c r="I18" s="18" t="s">
        <v>203</v>
      </c>
      <c r="J18" s="7"/>
      <c r="K18" s="7"/>
      <c r="L18" s="7"/>
      <c r="M18" s="7"/>
      <c r="N18" s="7"/>
      <c r="O18" s="8" t="s">
        <v>24</v>
      </c>
      <c r="P18" s="44">
        <f>Inventori!P18/Inventori!C51*1000</f>
        <v>4.6914061003794451E-2</v>
      </c>
      <c r="Q18" s="20" t="s">
        <v>205</v>
      </c>
      <c r="R18" s="5" t="s">
        <v>50</v>
      </c>
      <c r="S18" s="43">
        <f>E18</f>
        <v>24.839966543981944</v>
      </c>
      <c r="T18" s="6" t="s">
        <v>201</v>
      </c>
      <c r="U18" s="7"/>
      <c r="V18" s="7"/>
      <c r="W18" s="7"/>
      <c r="X18" s="13"/>
      <c r="Y18" s="13"/>
      <c r="Z18" s="13"/>
      <c r="AA18" s="13"/>
      <c r="AB18" s="13"/>
      <c r="AC18" s="13"/>
      <c r="AD18" s="14"/>
    </row>
    <row r="19" spans="1:30" ht="14.25" customHeight="1" x14ac:dyDescent="0.3">
      <c r="A19" s="353"/>
      <c r="B19" s="353"/>
      <c r="C19" s="14" t="s">
        <v>51</v>
      </c>
      <c r="D19" s="7"/>
      <c r="E19" s="16"/>
      <c r="F19" s="16"/>
      <c r="G19" s="7"/>
      <c r="H19" s="45"/>
      <c r="I19" s="16"/>
      <c r="J19" s="7"/>
      <c r="K19" s="7"/>
      <c r="L19" s="7"/>
      <c r="M19" s="7"/>
      <c r="N19" s="7"/>
      <c r="O19" s="17" t="s">
        <v>29</v>
      </c>
      <c r="P19" s="44">
        <f>Inventori!P19/Inventori!C51*1000</f>
        <v>0.7134037784789391</v>
      </c>
      <c r="Q19" s="18" t="s">
        <v>206</v>
      </c>
      <c r="R19" s="7"/>
      <c r="S19" s="16"/>
      <c r="T19" s="7"/>
      <c r="U19" s="7"/>
      <c r="V19" s="7"/>
      <c r="W19" s="7"/>
      <c r="X19" s="13"/>
      <c r="Y19" s="13"/>
      <c r="Z19" s="13"/>
      <c r="AA19" s="13"/>
      <c r="AB19" s="13"/>
      <c r="AC19" s="13"/>
      <c r="AD19" s="14"/>
    </row>
    <row r="20" spans="1:30" ht="14.25" customHeight="1" x14ac:dyDescent="0.3">
      <c r="A20" s="353"/>
      <c r="B20" s="353"/>
      <c r="C20" s="14"/>
      <c r="D20" s="7"/>
      <c r="E20" s="16"/>
      <c r="F20" s="16"/>
      <c r="G20" s="7"/>
      <c r="H20" s="45"/>
      <c r="I20" s="16"/>
      <c r="J20" s="7"/>
      <c r="K20" s="7"/>
      <c r="L20" s="7"/>
      <c r="M20" s="7"/>
      <c r="N20" s="7"/>
      <c r="O20" s="17" t="s">
        <v>31</v>
      </c>
      <c r="P20" s="44">
        <f>Inventori!P20/Inventori!C51*1000</f>
        <v>27.882033368472637</v>
      </c>
      <c r="Q20" s="18" t="s">
        <v>207</v>
      </c>
      <c r="R20" s="7"/>
      <c r="S20" s="16"/>
      <c r="T20" s="7"/>
      <c r="U20" s="7"/>
      <c r="V20" s="7"/>
      <c r="W20" s="7"/>
      <c r="X20" s="13"/>
      <c r="Y20" s="13"/>
      <c r="Z20" s="13"/>
      <c r="AA20" s="13"/>
      <c r="AB20" s="13"/>
      <c r="AC20" s="13"/>
      <c r="AD20" s="14"/>
    </row>
    <row r="21" spans="1:30" ht="14.25" customHeight="1" x14ac:dyDescent="0.3">
      <c r="A21" s="354"/>
      <c r="B21" s="354"/>
      <c r="C21" s="14"/>
      <c r="D21" s="7"/>
      <c r="E21" s="16"/>
      <c r="F21" s="16"/>
      <c r="G21" s="7"/>
      <c r="H21" s="45"/>
      <c r="I21" s="16"/>
      <c r="J21" s="7"/>
      <c r="K21" s="7"/>
      <c r="L21" s="7"/>
      <c r="M21" s="7"/>
      <c r="N21" s="7"/>
      <c r="O21" s="7"/>
      <c r="P21" s="46"/>
      <c r="Q21" s="16"/>
      <c r="R21" s="7"/>
      <c r="S21" s="16"/>
      <c r="T21" s="7"/>
      <c r="U21" s="7"/>
      <c r="V21" s="7"/>
      <c r="W21" s="7"/>
      <c r="X21" s="13"/>
      <c r="Y21" s="13"/>
      <c r="Z21" s="13"/>
      <c r="AA21" s="13"/>
      <c r="AB21" s="13"/>
      <c r="AC21" s="13"/>
      <c r="AD21" s="14"/>
    </row>
    <row r="22" spans="1:30" ht="14.25" customHeight="1" x14ac:dyDescent="0.3">
      <c r="A22" s="356">
        <v>5</v>
      </c>
      <c r="B22" s="358" t="s">
        <v>52</v>
      </c>
      <c r="C22" s="28" t="s">
        <v>53</v>
      </c>
      <c r="D22" s="5" t="s">
        <v>54</v>
      </c>
      <c r="E22" s="6">
        <f>Inventori!E22/Inventori!C51</f>
        <v>1</v>
      </c>
      <c r="F22" s="6" t="s">
        <v>202</v>
      </c>
      <c r="G22" s="3" t="s">
        <v>22</v>
      </c>
      <c r="H22" s="48">
        <f>(Inventori!H22/Inventori!C51)*0.88</f>
        <v>0.15524651167584114</v>
      </c>
      <c r="I22" s="18" t="s">
        <v>203</v>
      </c>
      <c r="J22" s="7"/>
      <c r="K22" s="7"/>
      <c r="L22" s="7"/>
      <c r="M22" s="7"/>
      <c r="N22" s="7"/>
      <c r="O22" s="8" t="s">
        <v>24</v>
      </c>
      <c r="P22" s="44">
        <f>Inventori!P22/Inventori!C51*1000</f>
        <v>7.9184188946224924E-4</v>
      </c>
      <c r="Q22" s="20" t="s">
        <v>205</v>
      </c>
      <c r="R22" s="17" t="s">
        <v>54</v>
      </c>
      <c r="S22" s="6">
        <f>E22</f>
        <v>1</v>
      </c>
      <c r="T22" s="6" t="s">
        <v>202</v>
      </c>
      <c r="U22" s="7"/>
      <c r="V22" s="7"/>
      <c r="W22" s="7"/>
      <c r="X22" s="13"/>
      <c r="Y22" s="13"/>
      <c r="Z22" s="13"/>
      <c r="AA22" s="13"/>
      <c r="AB22" s="13"/>
      <c r="AC22" s="13"/>
      <c r="AD22" s="14"/>
    </row>
    <row r="23" spans="1:30" ht="14.25" customHeight="1" x14ac:dyDescent="0.3">
      <c r="A23" s="353"/>
      <c r="B23" s="353"/>
      <c r="C23" s="28"/>
      <c r="D23" s="7"/>
      <c r="E23" s="16"/>
      <c r="F23" s="16"/>
      <c r="G23" s="7"/>
      <c r="H23" s="45"/>
      <c r="I23" s="16"/>
      <c r="J23" s="7"/>
      <c r="K23" s="7"/>
      <c r="L23" s="7"/>
      <c r="M23" s="7"/>
      <c r="N23" s="7"/>
      <c r="O23" s="17" t="s">
        <v>29</v>
      </c>
      <c r="P23" s="44">
        <f>Inventori!P23/Inventori!C51*1000</f>
        <v>1.2041229938601588E-2</v>
      </c>
      <c r="Q23" s="18" t="s">
        <v>206</v>
      </c>
      <c r="R23" s="24"/>
      <c r="S23" s="16"/>
      <c r="T23" s="16"/>
      <c r="U23" s="7"/>
      <c r="V23" s="7"/>
      <c r="W23" s="7"/>
      <c r="X23" s="13"/>
      <c r="Y23" s="13"/>
      <c r="Z23" s="13"/>
      <c r="AA23" s="13"/>
      <c r="AB23" s="13"/>
      <c r="AC23" s="13"/>
      <c r="AD23" s="14"/>
    </row>
    <row r="24" spans="1:30" ht="14.25" customHeight="1" x14ac:dyDescent="0.3">
      <c r="A24" s="353"/>
      <c r="B24" s="353"/>
      <c r="C24" s="28"/>
      <c r="D24" s="7"/>
      <c r="E24" s="16"/>
      <c r="F24" s="16"/>
      <c r="G24" s="7"/>
      <c r="H24" s="45"/>
      <c r="I24" s="16"/>
      <c r="J24" s="7"/>
      <c r="K24" s="7"/>
      <c r="L24" s="7"/>
      <c r="M24" s="7"/>
      <c r="N24" s="7"/>
      <c r="O24" s="17" t="s">
        <v>31</v>
      </c>
      <c r="P24" s="44">
        <f>Inventori!P24/Inventori!C51*1000</f>
        <v>0.47060863016644744</v>
      </c>
      <c r="Q24" s="18" t="s">
        <v>207</v>
      </c>
      <c r="R24" s="24"/>
      <c r="S24" s="16"/>
      <c r="T24" s="16"/>
      <c r="U24" s="7"/>
      <c r="V24" s="7"/>
      <c r="W24" s="7"/>
      <c r="X24" s="13"/>
      <c r="Y24" s="13"/>
      <c r="Z24" s="13"/>
      <c r="AA24" s="13"/>
      <c r="AB24" s="13"/>
      <c r="AC24" s="13"/>
      <c r="AD24" s="14"/>
    </row>
    <row r="25" spans="1:30" ht="14.25" customHeight="1" x14ac:dyDescent="0.3">
      <c r="A25" s="354"/>
      <c r="B25" s="354"/>
      <c r="C25" s="28"/>
      <c r="D25" s="7"/>
      <c r="E25" s="16"/>
      <c r="F25" s="16"/>
      <c r="G25" s="7"/>
      <c r="H25" s="45"/>
      <c r="I25" s="16"/>
      <c r="J25" s="7"/>
      <c r="K25" s="7"/>
      <c r="L25" s="7"/>
      <c r="M25" s="7"/>
      <c r="N25" s="7"/>
      <c r="O25" s="7"/>
      <c r="P25" s="46"/>
      <c r="Q25" s="16"/>
      <c r="R25" s="24"/>
      <c r="S25" s="16"/>
      <c r="T25" s="16"/>
      <c r="U25" s="7"/>
      <c r="V25" s="7"/>
      <c r="W25" s="7"/>
      <c r="X25" s="13"/>
      <c r="Y25" s="13"/>
      <c r="Z25" s="13"/>
      <c r="AA25" s="13"/>
      <c r="AB25" s="13"/>
      <c r="AC25" s="13"/>
      <c r="AD25" s="14"/>
    </row>
    <row r="26" spans="1:30" ht="14.25" customHeight="1" x14ac:dyDescent="0.3">
      <c r="A26" s="378">
        <v>6</v>
      </c>
      <c r="B26" s="358" t="s">
        <v>56</v>
      </c>
      <c r="C26" s="28" t="s">
        <v>57</v>
      </c>
      <c r="D26" s="5" t="s">
        <v>54</v>
      </c>
      <c r="E26" s="6">
        <f>E22</f>
        <v>1</v>
      </c>
      <c r="F26" s="6" t="s">
        <v>202</v>
      </c>
      <c r="G26" s="3" t="s">
        <v>22</v>
      </c>
      <c r="H26" s="48">
        <f>(Inventori!H26/Inventori!C51)*0.88</f>
        <v>0.3662570239060281</v>
      </c>
      <c r="I26" s="18" t="s">
        <v>203</v>
      </c>
      <c r="J26" s="7"/>
      <c r="K26" s="7"/>
      <c r="L26" s="7"/>
      <c r="M26" s="7"/>
      <c r="N26" s="7"/>
      <c r="O26" s="8" t="s">
        <v>24</v>
      </c>
      <c r="P26" s="44">
        <f>Inventori!P26/Inventori!C51*1000</f>
        <v>1.8681105984792374E-3</v>
      </c>
      <c r="Q26" s="20" t="s">
        <v>205</v>
      </c>
      <c r="R26" s="17" t="s">
        <v>54</v>
      </c>
      <c r="S26" s="6">
        <f>E26</f>
        <v>1</v>
      </c>
      <c r="T26" s="6" t="s">
        <v>202</v>
      </c>
      <c r="U26" s="7"/>
      <c r="V26" s="7"/>
      <c r="W26" s="7"/>
      <c r="X26" s="13"/>
      <c r="Y26" s="13"/>
      <c r="Z26" s="13"/>
      <c r="AA26" s="13"/>
      <c r="AB26" s="13"/>
      <c r="AC26" s="13"/>
      <c r="AD26" s="14"/>
    </row>
    <row r="27" spans="1:30" ht="14.25" customHeight="1" x14ac:dyDescent="0.3">
      <c r="A27" s="353"/>
      <c r="B27" s="353"/>
      <c r="C27" s="28"/>
      <c r="D27" s="7"/>
      <c r="E27" s="16"/>
      <c r="F27" s="16"/>
      <c r="G27" s="7"/>
      <c r="H27" s="45"/>
      <c r="I27" s="16"/>
      <c r="J27" s="7"/>
      <c r="K27" s="7"/>
      <c r="L27" s="7"/>
      <c r="M27" s="7"/>
      <c r="N27" s="7"/>
      <c r="O27" s="17" t="s">
        <v>29</v>
      </c>
      <c r="P27" s="44">
        <f>Inventori!P27/Inventori!C51*1000</f>
        <v>2.8407627288199351E-2</v>
      </c>
      <c r="Q27" s="18" t="s">
        <v>206</v>
      </c>
      <c r="R27" s="24"/>
      <c r="S27" s="16"/>
      <c r="T27" s="16"/>
      <c r="U27" s="7"/>
      <c r="V27" s="7"/>
      <c r="W27" s="7"/>
      <c r="X27" s="13"/>
      <c r="Y27" s="13"/>
      <c r="Z27" s="13"/>
      <c r="AA27" s="13"/>
      <c r="AB27" s="13"/>
      <c r="AC27" s="13"/>
      <c r="AD27" s="14"/>
    </row>
    <row r="28" spans="1:30" ht="14.25" customHeight="1" x14ac:dyDescent="0.3">
      <c r="A28" s="353"/>
      <c r="B28" s="353"/>
      <c r="C28" s="28"/>
      <c r="D28" s="7"/>
      <c r="E28" s="16"/>
      <c r="F28" s="16"/>
      <c r="G28" s="7"/>
      <c r="H28" s="45"/>
      <c r="I28" s="16"/>
      <c r="J28" s="7"/>
      <c r="K28" s="7"/>
      <c r="L28" s="7"/>
      <c r="M28" s="7"/>
      <c r="N28" s="7"/>
      <c r="O28" s="17" t="s">
        <v>31</v>
      </c>
      <c r="P28" s="44">
        <f>Inventori!P28/Inventori!C51*1000</f>
        <v>1.1102582238315004</v>
      </c>
      <c r="Q28" s="18" t="s">
        <v>207</v>
      </c>
      <c r="R28" s="24"/>
      <c r="S28" s="16"/>
      <c r="T28" s="16"/>
      <c r="U28" s="7"/>
      <c r="V28" s="7"/>
      <c r="W28" s="7"/>
      <c r="X28" s="13"/>
      <c r="Y28" s="13"/>
      <c r="Z28" s="13"/>
      <c r="AA28" s="13"/>
      <c r="AB28" s="13"/>
      <c r="AC28" s="13"/>
      <c r="AD28" s="14"/>
    </row>
    <row r="29" spans="1:30" ht="14.25" customHeight="1" x14ac:dyDescent="0.3">
      <c r="A29" s="354"/>
      <c r="B29" s="354"/>
      <c r="C29" s="28"/>
      <c r="D29" s="7"/>
      <c r="E29" s="16"/>
      <c r="F29" s="16"/>
      <c r="G29" s="7"/>
      <c r="H29" s="45"/>
      <c r="I29" s="16"/>
      <c r="J29" s="7"/>
      <c r="K29" s="7"/>
      <c r="L29" s="7"/>
      <c r="M29" s="7"/>
      <c r="N29" s="7"/>
      <c r="O29" s="7"/>
      <c r="P29" s="46"/>
      <c r="Q29" s="16"/>
      <c r="R29" s="24"/>
      <c r="S29" s="16"/>
      <c r="T29" s="16"/>
      <c r="U29" s="7"/>
      <c r="V29" s="7"/>
      <c r="W29" s="7"/>
      <c r="X29" s="13"/>
      <c r="Y29" s="13"/>
      <c r="Z29" s="13"/>
      <c r="AA29" s="13"/>
      <c r="AB29" s="13"/>
      <c r="AC29" s="13"/>
      <c r="AD29" s="14"/>
    </row>
    <row r="30" spans="1:30" ht="14.25" customHeight="1" x14ac:dyDescent="0.3">
      <c r="A30" s="356">
        <v>7</v>
      </c>
      <c r="B30" s="358" t="s">
        <v>58</v>
      </c>
      <c r="C30" s="28" t="s">
        <v>28</v>
      </c>
      <c r="D30" s="5" t="s">
        <v>54</v>
      </c>
      <c r="E30" s="6">
        <f>E22</f>
        <v>1</v>
      </c>
      <c r="F30" s="6" t="s">
        <v>202</v>
      </c>
      <c r="G30" s="5" t="s">
        <v>22</v>
      </c>
      <c r="H30" s="43">
        <f>(Inventori!H30/Inventori!C51)*0.88</f>
        <v>0.94669558955441135</v>
      </c>
      <c r="I30" s="18" t="s">
        <v>203</v>
      </c>
      <c r="J30" s="7"/>
      <c r="K30" s="7"/>
      <c r="L30" s="7"/>
      <c r="M30" s="7"/>
      <c r="N30" s="7"/>
      <c r="O30" s="8" t="s">
        <v>24</v>
      </c>
      <c r="P30" s="44">
        <f>Inventori!P30/Inventori!C51*1000</f>
        <v>4.828663886139983E-3</v>
      </c>
      <c r="Q30" s="20" t="s">
        <v>205</v>
      </c>
      <c r="R30" s="17" t="s">
        <v>54</v>
      </c>
      <c r="S30" s="6">
        <f>E30</f>
        <v>1</v>
      </c>
      <c r="T30" s="6" t="s">
        <v>202</v>
      </c>
      <c r="U30" s="7"/>
      <c r="V30" s="7"/>
      <c r="W30" s="7"/>
      <c r="X30" s="13"/>
      <c r="Y30" s="13"/>
      <c r="Z30" s="13"/>
      <c r="AA30" s="13"/>
      <c r="AB30" s="13"/>
      <c r="AC30" s="13"/>
      <c r="AD30" s="14"/>
    </row>
    <row r="31" spans="1:30" ht="14.25" customHeight="1" x14ac:dyDescent="0.3">
      <c r="A31" s="353"/>
      <c r="B31" s="353"/>
      <c r="C31" s="29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7" t="s">
        <v>29</v>
      </c>
      <c r="P31" s="44">
        <f>Inventori!P31/Inventori!C51*1000</f>
        <v>7.3427603317019252E-2</v>
      </c>
      <c r="Q31" s="18" t="s">
        <v>206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</row>
    <row r="32" spans="1:30" ht="14.25" customHeight="1" x14ac:dyDescent="0.3">
      <c r="A32" s="353"/>
      <c r="B32" s="353"/>
      <c r="C32" s="28" t="s">
        <v>57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7" t="s">
        <v>31</v>
      </c>
      <c r="P32" s="44">
        <f>Inventori!P32/Inventori!C51*1000</f>
        <v>2.8697785848810766</v>
      </c>
      <c r="Q32" s="18" t="s">
        <v>207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</row>
    <row r="33" spans="1:30" ht="14.25" customHeight="1" x14ac:dyDescent="0.3">
      <c r="A33" s="353"/>
      <c r="B33" s="353"/>
      <c r="C33" s="28" t="s">
        <v>19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</row>
    <row r="34" spans="1:30" ht="14.25" customHeight="1" x14ac:dyDescent="0.3">
      <c r="A34" s="353"/>
      <c r="B34" s="353"/>
      <c r="C34" s="29" t="s">
        <v>60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4"/>
    </row>
    <row r="35" spans="1:30" ht="14.25" customHeight="1" x14ac:dyDescent="0.3">
      <c r="A35" s="353"/>
      <c r="B35" s="353"/>
      <c r="C35" s="29" t="s">
        <v>61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1:30" ht="14.25" customHeight="1" x14ac:dyDescent="0.3">
      <c r="A36" s="353"/>
      <c r="B36" s="353"/>
      <c r="C36" s="28" t="s">
        <v>62</v>
      </c>
      <c r="D36" s="13"/>
      <c r="E36" s="30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</row>
    <row r="37" spans="1:30" ht="14.25" customHeight="1" x14ac:dyDescent="0.3">
      <c r="A37" s="353"/>
      <c r="B37" s="353"/>
      <c r="C37" s="29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</row>
    <row r="38" spans="1:30" ht="14.25" customHeight="1" x14ac:dyDescent="0.3">
      <c r="A38" s="354"/>
      <c r="B38" s="354"/>
      <c r="C38" s="29" t="s">
        <v>64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</row>
    <row r="39" spans="1:30" s="264" customFormat="1" ht="14.25" customHeight="1" x14ac:dyDescent="0.3">
      <c r="A39" s="346">
        <v>8</v>
      </c>
      <c r="B39" s="349" t="s">
        <v>272</v>
      </c>
      <c r="C39" s="268" t="s">
        <v>283</v>
      </c>
      <c r="D39" s="283" t="s">
        <v>54</v>
      </c>
      <c r="E39" s="18">
        <f>E22</f>
        <v>1</v>
      </c>
      <c r="F39" s="18" t="s">
        <v>202</v>
      </c>
      <c r="G39" s="284" t="s">
        <v>22</v>
      </c>
      <c r="H39" s="285">
        <f>(Inventori!H39/Inventori!$E$39)*0.88</f>
        <v>0.45896578825032147</v>
      </c>
      <c r="I39" s="18" t="s">
        <v>203</v>
      </c>
      <c r="J39" s="269"/>
      <c r="K39" s="269"/>
      <c r="L39" s="269"/>
      <c r="M39" s="285">
        <f>(Inventori!M39/Inventori!$E$39)*1000</f>
        <v>21.936256196726596</v>
      </c>
      <c r="N39" s="18" t="s">
        <v>203</v>
      </c>
      <c r="O39" s="277" t="s">
        <v>73</v>
      </c>
      <c r="P39" s="285">
        <f>(Inventori!P39/Inventori!$E$39)*1000</f>
        <v>0.40990362334425118</v>
      </c>
      <c r="Q39" s="18" t="s">
        <v>206</v>
      </c>
      <c r="R39" s="17" t="s">
        <v>54</v>
      </c>
      <c r="S39" s="18">
        <f>E39</f>
        <v>1</v>
      </c>
      <c r="T39" s="18" t="s">
        <v>202</v>
      </c>
      <c r="U39" s="269"/>
      <c r="V39" s="269"/>
      <c r="W39" s="269"/>
      <c r="X39" s="285" t="s">
        <v>284</v>
      </c>
      <c r="Y39" s="285">
        <f>(Inventori!Y39/Inventori!$E$39)*1000</f>
        <v>21.936256196726596</v>
      </c>
      <c r="Z39" s="277" t="s">
        <v>200</v>
      </c>
      <c r="AA39" s="269"/>
      <c r="AB39" s="269"/>
      <c r="AC39" s="269"/>
      <c r="AD39" s="265"/>
    </row>
    <row r="40" spans="1:30" s="264" customFormat="1" ht="14.25" customHeight="1" x14ac:dyDescent="0.3">
      <c r="A40" s="347"/>
      <c r="B40" s="350"/>
      <c r="C40" s="268"/>
      <c r="D40" s="284" t="s">
        <v>156</v>
      </c>
      <c r="E40" s="285">
        <f>(Inventori!E40/Inventori!$E$39)*0.88</f>
        <v>2.2355685488644349E-6</v>
      </c>
      <c r="F40" s="18" t="s">
        <v>202</v>
      </c>
      <c r="G40" s="284" t="s">
        <v>273</v>
      </c>
      <c r="H40" s="285">
        <f>(Inventori!H40/Inventori!$E$39)*0.88</f>
        <v>5.7370723531290184E-2</v>
      </c>
      <c r="I40" s="18" t="s">
        <v>203</v>
      </c>
      <c r="J40" s="269"/>
      <c r="K40" s="269"/>
      <c r="L40" s="269"/>
      <c r="M40" s="269"/>
      <c r="N40" s="269"/>
      <c r="O40" s="277" t="s">
        <v>31</v>
      </c>
      <c r="P40" s="285">
        <f>(Inventori!P40/Inventori!$E$39)*1000</f>
        <v>0.2834240641956331</v>
      </c>
      <c r="Q40" s="18" t="s">
        <v>207</v>
      </c>
      <c r="R40" s="269"/>
      <c r="S40" s="269"/>
      <c r="T40" s="280"/>
      <c r="U40" s="282" t="s">
        <v>195</v>
      </c>
      <c r="V40" s="285">
        <f>(Inventori!V40/Inventori!$E$39)</f>
        <v>2.5277799059977782E-6</v>
      </c>
      <c r="W40" s="18" t="s">
        <v>202</v>
      </c>
      <c r="X40" s="269"/>
      <c r="Y40" s="269"/>
      <c r="Z40" s="269"/>
      <c r="AA40" s="269"/>
      <c r="AB40" s="269"/>
      <c r="AC40" s="269"/>
      <c r="AD40" s="265"/>
    </row>
    <row r="41" spans="1:30" s="264" customFormat="1" ht="14.25" customHeight="1" x14ac:dyDescent="0.3">
      <c r="A41" s="347"/>
      <c r="B41" s="350"/>
      <c r="C41" s="268"/>
      <c r="D41" s="284" t="s">
        <v>274</v>
      </c>
      <c r="E41" s="285">
        <f>(Inventori!E41/Inventori!$E$39)*1000</f>
        <v>5.6919884053949107E-5</v>
      </c>
      <c r="F41" s="18" t="s">
        <v>202</v>
      </c>
      <c r="G41" s="281"/>
      <c r="H41" s="281"/>
      <c r="I41" s="281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80"/>
      <c r="U41" s="282" t="s">
        <v>275</v>
      </c>
      <c r="V41" s="285">
        <f>(Inventori!V41/Inventori!$E$39)</f>
        <v>7.9553869134066085E-8</v>
      </c>
      <c r="W41" s="18" t="s">
        <v>202</v>
      </c>
      <c r="X41" s="269"/>
      <c r="Y41" s="269"/>
      <c r="Z41" s="269"/>
      <c r="AA41" s="269"/>
      <c r="AB41" s="269"/>
      <c r="AC41" s="269"/>
      <c r="AD41" s="265"/>
    </row>
    <row r="42" spans="1:30" s="264" customFormat="1" ht="14.25" customHeight="1" x14ac:dyDescent="0.3">
      <c r="A42" s="347"/>
      <c r="B42" s="350"/>
      <c r="C42" s="268"/>
      <c r="D42" s="284" t="s">
        <v>126</v>
      </c>
      <c r="E42" s="285">
        <f>(Inventori!E42/Inventori!$E$39)*1000</f>
        <v>6.033037297453697E-5</v>
      </c>
      <c r="F42" s="18" t="s">
        <v>202</v>
      </c>
      <c r="G42" s="281"/>
      <c r="H42" s="281"/>
      <c r="I42" s="281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80"/>
      <c r="U42" s="282" t="s">
        <v>276</v>
      </c>
      <c r="V42" s="285">
        <f>(Inventori!V42/Inventori!$E$39)</f>
        <v>1.4464339842557471E-6</v>
      </c>
      <c r="W42" s="18" t="s">
        <v>202</v>
      </c>
      <c r="X42" s="269"/>
      <c r="Y42" s="269"/>
      <c r="Z42" s="269"/>
      <c r="AA42" s="269"/>
      <c r="AB42" s="269"/>
      <c r="AC42" s="269"/>
      <c r="AD42" s="265"/>
    </row>
    <row r="43" spans="1:30" s="264" customFormat="1" ht="14.25" customHeight="1" x14ac:dyDescent="0.3">
      <c r="A43" s="347"/>
      <c r="B43" s="350"/>
      <c r="C43" s="268"/>
      <c r="D43" s="284" t="s">
        <v>127</v>
      </c>
      <c r="E43" s="285">
        <f>(Inventori!E43/Inventori!$E$39)*1000</f>
        <v>1.9306503372293342E-5</v>
      </c>
      <c r="F43" s="18" t="s">
        <v>202</v>
      </c>
      <c r="G43" s="281"/>
      <c r="H43" s="281"/>
      <c r="I43" s="281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80"/>
      <c r="U43" s="282" t="s">
        <v>277</v>
      </c>
      <c r="V43" s="285">
        <f>(Inventori!V43/Inventori!$E$39)</f>
        <v>5.6919884053949109E-8</v>
      </c>
      <c r="W43" s="18" t="s">
        <v>202</v>
      </c>
      <c r="X43" s="269"/>
      <c r="Y43" s="269"/>
      <c r="Z43" s="269"/>
      <c r="AA43" s="269"/>
      <c r="AB43" s="269"/>
      <c r="AC43" s="269"/>
      <c r="AD43" s="265"/>
    </row>
    <row r="44" spans="1:30" s="264" customFormat="1" ht="14.25" customHeight="1" x14ac:dyDescent="0.3">
      <c r="A44" s="347"/>
      <c r="B44" s="350"/>
      <c r="C44" s="268"/>
      <c r="D44" s="284" t="s">
        <v>128</v>
      </c>
      <c r="E44" s="285">
        <f>(Inventori!E44/Inventori!$E$39)*1000</f>
        <v>3.6902147023324741E-3</v>
      </c>
      <c r="F44" s="18" t="s">
        <v>202</v>
      </c>
      <c r="G44" s="281"/>
      <c r="H44" s="281"/>
      <c r="I44" s="281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80"/>
      <c r="U44" s="282" t="s">
        <v>278</v>
      </c>
      <c r="V44" s="285">
        <f>(Inventori!V44/Inventori!$E$39)</f>
        <v>6.0330372974536973E-8</v>
      </c>
      <c r="W44" s="18" t="s">
        <v>202</v>
      </c>
      <c r="X44" s="269"/>
      <c r="Y44" s="269"/>
      <c r="Z44" s="269"/>
      <c r="AA44" s="269"/>
      <c r="AB44" s="269"/>
      <c r="AC44" s="269"/>
      <c r="AD44" s="265"/>
    </row>
    <row r="45" spans="1:30" s="264" customFormat="1" ht="14.25" customHeight="1" x14ac:dyDescent="0.3">
      <c r="A45" s="347"/>
      <c r="B45" s="350"/>
      <c r="C45" s="268"/>
      <c r="D45" s="269"/>
      <c r="E45" s="269"/>
      <c r="F45" s="269"/>
      <c r="G45" s="281"/>
      <c r="H45" s="281"/>
      <c r="I45" s="281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80"/>
      <c r="U45" s="282" t="s">
        <v>279</v>
      </c>
      <c r="V45" s="285">
        <f>(Inventori!V45/Inventori!$E$39)</f>
        <v>1.9306503372293343E-8</v>
      </c>
      <c r="W45" s="18" t="s">
        <v>202</v>
      </c>
      <c r="X45" s="269"/>
      <c r="Y45" s="269"/>
      <c r="Z45" s="269"/>
      <c r="AA45" s="269"/>
      <c r="AB45" s="269"/>
      <c r="AC45" s="269"/>
      <c r="AD45" s="265"/>
    </row>
    <row r="46" spans="1:30" s="264" customFormat="1" ht="14.25" customHeight="1" x14ac:dyDescent="0.3">
      <c r="A46" s="347"/>
      <c r="B46" s="350"/>
      <c r="C46" s="268"/>
      <c r="D46" s="269"/>
      <c r="E46" s="269"/>
      <c r="F46" s="269"/>
      <c r="G46" s="273"/>
      <c r="H46" s="274"/>
      <c r="I46" s="275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80"/>
      <c r="U46" s="282" t="s">
        <v>280</v>
      </c>
      <c r="V46" s="285">
        <f>(Inventori!V46/Inventori!$E$39)</f>
        <v>3.690214702332474E-6</v>
      </c>
      <c r="W46" s="18" t="s">
        <v>202</v>
      </c>
      <c r="X46" s="269"/>
      <c r="Y46" s="269"/>
      <c r="Z46" s="269"/>
      <c r="AA46" s="269"/>
      <c r="AB46" s="269"/>
      <c r="AC46" s="269"/>
      <c r="AD46" s="265"/>
    </row>
    <row r="47" spans="1:30" s="264" customFormat="1" ht="14.25" customHeight="1" x14ac:dyDescent="0.3">
      <c r="A47" s="347"/>
      <c r="B47" s="350"/>
      <c r="C47" s="268"/>
      <c r="D47" s="269"/>
      <c r="E47" s="269"/>
      <c r="F47" s="269"/>
      <c r="G47" s="273"/>
      <c r="H47" s="276"/>
      <c r="I47" s="273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80"/>
      <c r="U47" s="282" t="s">
        <v>281</v>
      </c>
      <c r="V47" s="285">
        <f>(Inventori!V47/Inventori!$E$39)</f>
        <v>3.1188732785514542E-7</v>
      </c>
      <c r="W47" s="18" t="s">
        <v>202</v>
      </c>
      <c r="X47" s="269"/>
      <c r="Y47" s="269"/>
      <c r="Z47" s="269"/>
      <c r="AA47" s="269"/>
      <c r="AB47" s="269"/>
      <c r="AC47" s="269"/>
      <c r="AD47" s="265"/>
    </row>
    <row r="48" spans="1:30" s="264" customFormat="1" ht="14.25" customHeight="1" x14ac:dyDescent="0.3">
      <c r="A48" s="347"/>
      <c r="B48" s="350"/>
      <c r="C48" s="268"/>
      <c r="D48" s="269"/>
      <c r="E48" s="269"/>
      <c r="F48" s="269"/>
      <c r="G48" s="273"/>
      <c r="H48" s="276"/>
      <c r="I48" s="273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80"/>
      <c r="U48" s="282" t="s">
        <v>282</v>
      </c>
      <c r="V48" s="285">
        <f>(Inventori!V48/Inventori!$E$39)</f>
        <v>9.2318406988326563E-9</v>
      </c>
      <c r="W48" s="18" t="s">
        <v>202</v>
      </c>
      <c r="X48" s="269"/>
      <c r="Y48" s="269"/>
      <c r="Z48" s="269"/>
      <c r="AA48" s="269"/>
      <c r="AB48" s="269"/>
      <c r="AC48" s="269"/>
      <c r="AD48" s="265"/>
    </row>
    <row r="49" spans="1:30" s="264" customFormat="1" ht="14.25" customHeight="1" x14ac:dyDescent="0.3">
      <c r="A49" s="348"/>
      <c r="B49" s="351"/>
      <c r="C49" s="268"/>
      <c r="D49" s="269"/>
      <c r="E49" s="269"/>
      <c r="F49" s="269"/>
      <c r="G49" s="273"/>
      <c r="H49" s="276"/>
      <c r="I49" s="273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80"/>
      <c r="U49" s="269"/>
      <c r="V49" s="269"/>
      <c r="W49" s="269"/>
      <c r="X49" s="269"/>
      <c r="Y49" s="269"/>
      <c r="Z49" s="269"/>
      <c r="AA49" s="269"/>
      <c r="AB49" s="269"/>
      <c r="AC49" s="269"/>
      <c r="AD49" s="265"/>
    </row>
    <row r="50" spans="1:30" ht="14.25" customHeight="1" x14ac:dyDescent="0.3"/>
    <row r="51" spans="1:30" ht="14.25" customHeight="1" x14ac:dyDescent="0.3">
      <c r="H51" s="33"/>
      <c r="O51" s="370" t="s">
        <v>66</v>
      </c>
      <c r="P51" s="371"/>
      <c r="Q51" s="371"/>
      <c r="R51" s="371"/>
      <c r="S51" s="371"/>
      <c r="T51" s="372"/>
    </row>
    <row r="52" spans="1:30" ht="14.25" customHeight="1" x14ac:dyDescent="0.3">
      <c r="H52" s="33"/>
      <c r="O52" s="34" t="s">
        <v>67</v>
      </c>
      <c r="P52" s="35" t="s">
        <v>68</v>
      </c>
      <c r="Q52" s="35" t="s">
        <v>8</v>
      </c>
      <c r="R52" s="370" t="s">
        <v>69</v>
      </c>
      <c r="S52" s="371"/>
      <c r="T52" s="372"/>
    </row>
    <row r="53" spans="1:30" ht="14.25" customHeight="1" x14ac:dyDescent="0.3">
      <c r="H53" s="33"/>
      <c r="O53" s="36" t="s">
        <v>70</v>
      </c>
      <c r="P53" s="37">
        <v>0.12468</v>
      </c>
      <c r="Q53" s="36" t="s">
        <v>71</v>
      </c>
      <c r="R53" s="363" t="s">
        <v>72</v>
      </c>
      <c r="S53" s="364"/>
      <c r="T53" s="365"/>
    </row>
    <row r="54" spans="1:30" ht="14.25" customHeight="1" x14ac:dyDescent="0.3">
      <c r="O54" s="36" t="s">
        <v>73</v>
      </c>
      <c r="P54" s="37">
        <v>1.8959600000000001</v>
      </c>
      <c r="Q54" s="36" t="s">
        <v>74</v>
      </c>
      <c r="R54" s="366"/>
      <c r="S54" s="367"/>
      <c r="T54" s="368"/>
    </row>
    <row r="55" spans="1:30" ht="14.25" customHeight="1" x14ac:dyDescent="0.3">
      <c r="O55" s="38" t="s">
        <v>75</v>
      </c>
      <c r="P55" s="39">
        <v>0.13328000000000001</v>
      </c>
      <c r="Q55" s="38" t="s">
        <v>76</v>
      </c>
      <c r="R55" s="369"/>
      <c r="S55" s="360"/>
      <c r="T55" s="361"/>
    </row>
    <row r="56" spans="1:30" ht="14.25" customHeight="1" x14ac:dyDescent="0.3">
      <c r="O56" s="36" t="s">
        <v>31</v>
      </c>
      <c r="P56" s="37">
        <v>74.099999999999994</v>
      </c>
      <c r="Q56" s="36" t="s">
        <v>77</v>
      </c>
      <c r="R56" s="363" t="s">
        <v>78</v>
      </c>
      <c r="S56" s="364"/>
      <c r="T56" s="365"/>
    </row>
    <row r="57" spans="1:30" ht="14.25" customHeight="1" x14ac:dyDescent="0.3">
      <c r="O57" s="38" t="s">
        <v>79</v>
      </c>
      <c r="P57" s="39">
        <v>3.0000000000000001E-3</v>
      </c>
      <c r="Q57" s="38" t="s">
        <v>80</v>
      </c>
      <c r="R57" s="366"/>
      <c r="S57" s="367"/>
      <c r="T57" s="368"/>
    </row>
    <row r="58" spans="1:30" ht="14.25" customHeight="1" x14ac:dyDescent="0.3">
      <c r="O58" s="38" t="s">
        <v>81</v>
      </c>
      <c r="P58" s="39">
        <v>5.9999999999999995E-4</v>
      </c>
      <c r="Q58" s="38" t="s">
        <v>82</v>
      </c>
      <c r="R58" s="369"/>
      <c r="S58" s="360"/>
      <c r="T58" s="361"/>
    </row>
    <row r="59" spans="1:30" ht="14.25" customHeight="1" x14ac:dyDescent="0.35">
      <c r="O59" s="34" t="s">
        <v>83</v>
      </c>
      <c r="P59" s="35" t="s">
        <v>8</v>
      </c>
      <c r="Q59" s="40"/>
      <c r="R59" s="359"/>
      <c r="S59" s="360"/>
      <c r="T59" s="361"/>
    </row>
    <row r="60" spans="1:30" ht="14.25" customHeight="1" x14ac:dyDescent="0.35">
      <c r="O60" s="41">
        <f>36*10^-6</f>
        <v>3.6000000000000001E-5</v>
      </c>
      <c r="P60" s="37" t="s">
        <v>84</v>
      </c>
      <c r="Q60" s="40"/>
      <c r="R60" s="359"/>
      <c r="S60" s="360"/>
      <c r="T60" s="361"/>
    </row>
    <row r="61" spans="1:30" ht="14.25" customHeight="1" x14ac:dyDescent="0.3"/>
    <row r="62" spans="1:30" ht="14.25" customHeight="1" x14ac:dyDescent="0.3"/>
    <row r="63" spans="1:30" ht="14.25" customHeight="1" x14ac:dyDescent="0.3"/>
    <row r="64" spans="1:30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</sheetData>
  <mergeCells count="53">
    <mergeCell ref="E2:E3"/>
    <mergeCell ref="F2:F3"/>
    <mergeCell ref="A8:A11"/>
    <mergeCell ref="B8:B11"/>
    <mergeCell ref="B12:B17"/>
    <mergeCell ref="A4:A7"/>
    <mergeCell ref="B4:B7"/>
    <mergeCell ref="Y2:Y3"/>
    <mergeCell ref="Z2:Z3"/>
    <mergeCell ref="AA2:AA3"/>
    <mergeCell ref="Q2:Q3"/>
    <mergeCell ref="R2:R3"/>
    <mergeCell ref="U2:U3"/>
    <mergeCell ref="M2:N2"/>
    <mergeCell ref="AB2:AB3"/>
    <mergeCell ref="AC2:AC3"/>
    <mergeCell ref="AD1:AD3"/>
    <mergeCell ref="D2:D3"/>
    <mergeCell ref="G2:G3"/>
    <mergeCell ref="H2:H3"/>
    <mergeCell ref="I2:I3"/>
    <mergeCell ref="J2:J3"/>
    <mergeCell ref="K2:K3"/>
    <mergeCell ref="V2:V3"/>
    <mergeCell ref="W2:W3"/>
    <mergeCell ref="X2:X3"/>
    <mergeCell ref="D1:N1"/>
    <mergeCell ref="O1:AC1"/>
    <mergeCell ref="L2:L3"/>
    <mergeCell ref="R60:T60"/>
    <mergeCell ref="T2:T3"/>
    <mergeCell ref="R53:T55"/>
    <mergeCell ref="R56:T58"/>
    <mergeCell ref="R59:T59"/>
    <mergeCell ref="O51:T51"/>
    <mergeCell ref="R52:T52"/>
    <mergeCell ref="O2:O3"/>
    <mergeCell ref="S2:S3"/>
    <mergeCell ref="P2:P3"/>
    <mergeCell ref="A39:A49"/>
    <mergeCell ref="B39:B49"/>
    <mergeCell ref="A1:A3"/>
    <mergeCell ref="B1:B3"/>
    <mergeCell ref="C1:C3"/>
    <mergeCell ref="A30:A38"/>
    <mergeCell ref="B30:B38"/>
    <mergeCell ref="A12:A17"/>
    <mergeCell ref="A26:A29"/>
    <mergeCell ref="B26:B29"/>
    <mergeCell ref="A18:A21"/>
    <mergeCell ref="B18:B21"/>
    <mergeCell ref="A22:A25"/>
    <mergeCell ref="B22:B25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FF00"/>
  </sheetPr>
  <dimension ref="A1:AR1015"/>
  <sheetViews>
    <sheetView topLeftCell="C36" zoomScale="85" zoomScaleNormal="85" workbookViewId="0">
      <selection activeCell="F60" sqref="F60"/>
    </sheetView>
  </sheetViews>
  <sheetFormatPr defaultColWidth="12.58203125" defaultRowHeight="15" customHeight="1" x14ac:dyDescent="0.3"/>
  <cols>
    <col min="1" max="1" width="4.5" customWidth="1"/>
    <col min="2" max="2" width="25.25" customWidth="1"/>
    <col min="3" max="3" width="20.83203125" customWidth="1"/>
    <col min="4" max="4" width="23.25" customWidth="1"/>
    <col min="5" max="5" width="12.08203125" customWidth="1"/>
    <col min="6" max="6" width="10.08203125" customWidth="1"/>
    <col min="7" max="7" width="11.58203125" customWidth="1"/>
    <col min="8" max="8" width="13.33203125" customWidth="1"/>
    <col min="9" max="9" width="13.25" customWidth="1"/>
    <col min="10" max="10" width="12.08203125" customWidth="1"/>
    <col min="11" max="11" width="7.58203125" customWidth="1"/>
    <col min="12" max="12" width="9.83203125" customWidth="1"/>
    <col min="13" max="13" width="14.58203125" customWidth="1"/>
    <col min="14" max="14" width="16.83203125" customWidth="1"/>
    <col min="15" max="15" width="11.58203125" customWidth="1"/>
    <col min="16" max="16" width="9.58203125" customWidth="1"/>
    <col min="17" max="17" width="9.25" customWidth="1"/>
    <col min="18" max="18" width="14.25" customWidth="1"/>
    <col min="19" max="19" width="8.58203125" bestFit="1" customWidth="1"/>
    <col min="20" max="20" width="7.58203125" customWidth="1"/>
    <col min="21" max="21" width="9.25" style="264" customWidth="1"/>
    <col min="22" max="22" width="14.25" style="264" customWidth="1"/>
    <col min="23" max="23" width="11.58203125" customWidth="1"/>
    <col min="24" max="24" width="13.58203125" customWidth="1"/>
    <col min="25" max="25" width="11.33203125" customWidth="1"/>
    <col min="26" max="26" width="11.58203125" customWidth="1"/>
    <col min="27" max="27" width="13.83203125" customWidth="1"/>
    <col min="28" max="28" width="22.58203125" customWidth="1"/>
    <col min="29" max="29" width="14.08203125" customWidth="1"/>
    <col min="30" max="30" width="7.58203125" customWidth="1"/>
    <col min="31" max="31" width="20.58203125" customWidth="1"/>
    <col min="32" max="32" width="10.83203125" customWidth="1"/>
    <col min="33" max="33" width="7.58203125" customWidth="1"/>
    <col min="34" max="34" width="9.83203125" style="264" customWidth="1"/>
    <col min="35" max="35" width="9.75" style="264" customWidth="1"/>
    <col min="36" max="36" width="10.83203125" customWidth="1"/>
    <col min="37" max="37" width="8.58203125" bestFit="1" customWidth="1"/>
    <col min="38" max="38" width="7.58203125" customWidth="1"/>
    <col min="39" max="39" width="7.58203125" style="264" customWidth="1"/>
    <col min="40" max="40" width="10.6640625" style="264" customWidth="1"/>
    <col min="41" max="41" width="14.33203125" customWidth="1"/>
    <col min="42" max="43" width="7.58203125" customWidth="1"/>
    <col min="44" max="44" width="22" customWidth="1"/>
  </cols>
  <sheetData>
    <row r="1" spans="1:44" ht="14.25" customHeight="1" x14ac:dyDescent="0.3">
      <c r="A1" s="352" t="s">
        <v>0</v>
      </c>
      <c r="B1" s="352" t="s">
        <v>1</v>
      </c>
      <c r="C1" s="355" t="s">
        <v>2</v>
      </c>
      <c r="D1" s="382" t="s">
        <v>3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4"/>
      <c r="W1" s="377" t="s">
        <v>4</v>
      </c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2"/>
      <c r="AR1" s="374" t="s">
        <v>5</v>
      </c>
    </row>
    <row r="2" spans="1:44" ht="40.5" customHeight="1" x14ac:dyDescent="0.3">
      <c r="A2" s="353"/>
      <c r="B2" s="353"/>
      <c r="C2" s="353"/>
      <c r="D2" s="375" t="s">
        <v>6</v>
      </c>
      <c r="E2" s="375" t="s">
        <v>7</v>
      </c>
      <c r="F2" s="375" t="s">
        <v>8</v>
      </c>
      <c r="G2" s="375" t="s">
        <v>85</v>
      </c>
      <c r="H2" s="375" t="s">
        <v>86</v>
      </c>
      <c r="I2" s="375" t="s">
        <v>9</v>
      </c>
      <c r="J2" s="375" t="s">
        <v>7</v>
      </c>
      <c r="K2" s="375" t="s">
        <v>8</v>
      </c>
      <c r="L2" s="375" t="s">
        <v>85</v>
      </c>
      <c r="M2" s="375" t="s">
        <v>86</v>
      </c>
      <c r="N2" s="375" t="s">
        <v>10</v>
      </c>
      <c r="O2" s="375" t="s">
        <v>7</v>
      </c>
      <c r="P2" s="375" t="s">
        <v>8</v>
      </c>
      <c r="Q2" s="375" t="s">
        <v>85</v>
      </c>
      <c r="R2" s="375" t="s">
        <v>86</v>
      </c>
      <c r="S2" s="373" t="s">
        <v>11</v>
      </c>
      <c r="T2" s="372"/>
      <c r="U2" s="375" t="s">
        <v>85</v>
      </c>
      <c r="V2" s="375" t="s">
        <v>86</v>
      </c>
      <c r="W2" s="362" t="s">
        <v>12</v>
      </c>
      <c r="X2" s="362" t="s">
        <v>7</v>
      </c>
      <c r="Y2" s="362" t="s">
        <v>8</v>
      </c>
      <c r="Z2" s="362" t="s">
        <v>85</v>
      </c>
      <c r="AA2" s="362" t="s">
        <v>86</v>
      </c>
      <c r="AB2" s="362" t="s">
        <v>13</v>
      </c>
      <c r="AC2" s="362" t="s">
        <v>7</v>
      </c>
      <c r="AD2" s="362" t="s">
        <v>8</v>
      </c>
      <c r="AE2" s="362" t="s">
        <v>14</v>
      </c>
      <c r="AF2" s="362" t="s">
        <v>7</v>
      </c>
      <c r="AG2" s="362" t="s">
        <v>8</v>
      </c>
      <c r="AH2" s="362" t="s">
        <v>85</v>
      </c>
      <c r="AI2" s="362" t="s">
        <v>86</v>
      </c>
      <c r="AJ2" s="362" t="s">
        <v>15</v>
      </c>
      <c r="AK2" s="362" t="s">
        <v>7</v>
      </c>
      <c r="AL2" s="362" t="s">
        <v>8</v>
      </c>
      <c r="AM2" s="362" t="s">
        <v>85</v>
      </c>
      <c r="AN2" s="362" t="s">
        <v>86</v>
      </c>
      <c r="AO2" s="362" t="s">
        <v>16</v>
      </c>
      <c r="AP2" s="362" t="s">
        <v>7</v>
      </c>
      <c r="AQ2" s="362" t="s">
        <v>8</v>
      </c>
      <c r="AR2" s="353"/>
    </row>
    <row r="3" spans="1:44" ht="14.25" customHeight="1" x14ac:dyDescent="0.3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1" t="s">
        <v>17</v>
      </c>
      <c r="T3" s="1" t="s">
        <v>8</v>
      </c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</row>
    <row r="4" spans="1:44" ht="14.25" customHeight="1" x14ac:dyDescent="0.3">
      <c r="A4" s="378">
        <v>1</v>
      </c>
      <c r="B4" s="358" t="s">
        <v>18</v>
      </c>
      <c r="C4" s="2" t="s">
        <v>19</v>
      </c>
      <c r="D4" s="3" t="s">
        <v>20</v>
      </c>
      <c r="E4" s="42">
        <f>'Unit Fungsi'!E4</f>
        <v>9.0327994274291078E-5</v>
      </c>
      <c r="F4" s="61" t="s">
        <v>199</v>
      </c>
      <c r="G4" s="4">
        <f>CF!E3</f>
        <v>5.1299999999999998E-2</v>
      </c>
      <c r="H4" s="70">
        <f>E4*G4</f>
        <v>4.6338261062711319E-6</v>
      </c>
      <c r="I4" s="5" t="s">
        <v>22</v>
      </c>
      <c r="J4" s="43">
        <f>'Unit Fungsi'!H4</f>
        <v>5.2029606346859013E-2</v>
      </c>
      <c r="K4" s="18" t="s">
        <v>203</v>
      </c>
      <c r="L4" s="44">
        <f>CF!E7</f>
        <v>0.47899999999999998</v>
      </c>
      <c r="M4" s="52">
        <f>J4*L4</f>
        <v>2.4922181440145467E-2</v>
      </c>
      <c r="N4" s="7"/>
      <c r="O4" s="7"/>
      <c r="P4" s="7"/>
      <c r="Q4" s="7"/>
      <c r="R4" s="7"/>
      <c r="S4" s="7"/>
      <c r="T4" s="7"/>
      <c r="U4" s="24"/>
      <c r="V4" s="24"/>
      <c r="W4" s="8" t="s">
        <v>24</v>
      </c>
      <c r="X4" s="44">
        <f>'Unit Fungsi'!P4</f>
        <v>2.6537937215426107E-4</v>
      </c>
      <c r="Y4" s="20" t="s">
        <v>205</v>
      </c>
      <c r="Z4" s="71">
        <f>CF!E21</f>
        <v>0.82899999999999996</v>
      </c>
      <c r="AA4" s="54">
        <f t="shared" ref="AA4:AA6" si="0">X4*Z4</f>
        <v>2.1999949951588243E-4</v>
      </c>
      <c r="AB4" s="10" t="s">
        <v>26</v>
      </c>
      <c r="AC4" s="42">
        <f>'Unit Fungsi'!S4</f>
        <v>6.4818322919460664E-5</v>
      </c>
      <c r="AD4" s="11" t="s">
        <v>27</v>
      </c>
      <c r="AE4" s="12"/>
      <c r="AF4" s="12"/>
      <c r="AG4" s="12"/>
      <c r="AH4" s="12"/>
      <c r="AI4" s="12"/>
      <c r="AJ4" s="13"/>
      <c r="AK4" s="13"/>
      <c r="AL4" s="13"/>
      <c r="AM4" s="13"/>
      <c r="AN4" s="13"/>
      <c r="AO4" s="13"/>
      <c r="AP4" s="13"/>
      <c r="AQ4" s="13"/>
      <c r="AR4" s="14"/>
    </row>
    <row r="5" spans="1:44" ht="14.25" customHeight="1" x14ac:dyDescent="0.3">
      <c r="A5" s="353"/>
      <c r="B5" s="353"/>
      <c r="C5" s="15" t="s">
        <v>28</v>
      </c>
      <c r="D5" s="7"/>
      <c r="E5" s="45"/>
      <c r="F5" s="25"/>
      <c r="G5" s="16"/>
      <c r="H5" s="16"/>
      <c r="I5" s="7"/>
      <c r="J5" s="45"/>
      <c r="K5" s="25"/>
      <c r="L5" s="16"/>
      <c r="M5" s="16"/>
      <c r="N5" s="7"/>
      <c r="O5" s="7"/>
      <c r="P5" s="7"/>
      <c r="Q5" s="7"/>
      <c r="R5" s="7"/>
      <c r="S5" s="7"/>
      <c r="T5" s="7"/>
      <c r="U5" s="24"/>
      <c r="V5" s="24"/>
      <c r="W5" s="17" t="s">
        <v>29</v>
      </c>
      <c r="X5" s="44">
        <f>'Unit Fungsi'!P5</f>
        <v>4.0355203274750791E-3</v>
      </c>
      <c r="Y5" s="18" t="s">
        <v>206</v>
      </c>
      <c r="Z5" s="72">
        <f>CF!E22</f>
        <v>1.22</v>
      </c>
      <c r="AA5" s="56">
        <f t="shared" si="0"/>
        <v>4.9233347995195961E-3</v>
      </c>
      <c r="AB5" s="7"/>
      <c r="AC5" s="16"/>
      <c r="AD5" s="7"/>
      <c r="AE5" s="7"/>
      <c r="AF5" s="7"/>
      <c r="AG5" s="7"/>
      <c r="AH5" s="24"/>
      <c r="AI5" s="24"/>
      <c r="AJ5" s="13"/>
      <c r="AK5" s="13"/>
      <c r="AL5" s="13"/>
      <c r="AM5" s="13"/>
      <c r="AN5" s="13"/>
      <c r="AO5" s="13"/>
      <c r="AP5" s="13"/>
      <c r="AQ5" s="13"/>
      <c r="AR5" s="14"/>
    </row>
    <row r="6" spans="1:44" ht="14.25" customHeight="1" x14ac:dyDescent="0.3">
      <c r="A6" s="353"/>
      <c r="B6" s="353"/>
      <c r="C6" s="15"/>
      <c r="D6" s="7"/>
      <c r="E6" s="45"/>
      <c r="F6" s="25"/>
      <c r="G6" s="16"/>
      <c r="H6" s="16"/>
      <c r="I6" s="7"/>
      <c r="J6" s="45"/>
      <c r="K6" s="25"/>
      <c r="L6" s="16"/>
      <c r="M6" s="16"/>
      <c r="N6" s="7"/>
      <c r="O6" s="7"/>
      <c r="P6" s="7"/>
      <c r="Q6" s="7"/>
      <c r="R6" s="7"/>
      <c r="S6" s="7"/>
      <c r="T6" s="7"/>
      <c r="U6" s="24"/>
      <c r="V6" s="24"/>
      <c r="W6" s="17" t="s">
        <v>31</v>
      </c>
      <c r="X6" s="44">
        <f>'Unit Fungsi'!P6</f>
        <v>0.15772065669418306</v>
      </c>
      <c r="Y6" s="18" t="s">
        <v>207</v>
      </c>
      <c r="Z6" s="72">
        <f>CF!E23</f>
        <v>0.85299999999999998</v>
      </c>
      <c r="AA6" s="56">
        <f t="shared" si="0"/>
        <v>0.13453572016013815</v>
      </c>
      <c r="AB6" s="7"/>
      <c r="AC6" s="16"/>
      <c r="AD6" s="7"/>
      <c r="AE6" s="7"/>
      <c r="AF6" s="7"/>
      <c r="AG6" s="7"/>
      <c r="AH6" s="24"/>
      <c r="AI6" s="24"/>
      <c r="AJ6" s="13"/>
      <c r="AK6" s="13"/>
      <c r="AL6" s="13"/>
      <c r="AM6" s="13"/>
      <c r="AN6" s="13"/>
      <c r="AO6" s="13"/>
      <c r="AP6" s="13"/>
      <c r="AQ6" s="13"/>
      <c r="AR6" s="14"/>
    </row>
    <row r="7" spans="1:44" ht="14.25" customHeight="1" x14ac:dyDescent="0.3">
      <c r="A7" s="354"/>
      <c r="B7" s="354"/>
      <c r="C7" s="15"/>
      <c r="D7" s="7"/>
      <c r="E7" s="45"/>
      <c r="F7" s="25"/>
      <c r="G7" s="16"/>
      <c r="H7" s="16"/>
      <c r="I7" s="7"/>
      <c r="J7" s="45"/>
      <c r="K7" s="25"/>
      <c r="L7" s="16"/>
      <c r="M7" s="16"/>
      <c r="N7" s="7"/>
      <c r="O7" s="7"/>
      <c r="P7" s="7"/>
      <c r="Q7" s="7"/>
      <c r="R7" s="7"/>
      <c r="S7" s="7"/>
      <c r="T7" s="7"/>
      <c r="U7" s="24"/>
      <c r="V7" s="24"/>
      <c r="W7" s="7"/>
      <c r="X7" s="46"/>
      <c r="Y7" s="25"/>
      <c r="Z7" s="16"/>
      <c r="AA7" s="16"/>
      <c r="AB7" s="7"/>
      <c r="AC7" s="16"/>
      <c r="AD7" s="7"/>
      <c r="AE7" s="7"/>
      <c r="AF7" s="7"/>
      <c r="AG7" s="7"/>
      <c r="AH7" s="24"/>
      <c r="AI7" s="24"/>
      <c r="AJ7" s="13"/>
      <c r="AK7" s="13"/>
      <c r="AL7" s="13"/>
      <c r="AM7" s="13"/>
      <c r="AN7" s="13"/>
      <c r="AO7" s="13"/>
      <c r="AP7" s="13"/>
      <c r="AQ7" s="13"/>
      <c r="AR7" s="14"/>
    </row>
    <row r="8" spans="1:44" ht="14.25" customHeight="1" x14ac:dyDescent="0.3">
      <c r="A8" s="356">
        <v>2</v>
      </c>
      <c r="B8" s="379" t="s">
        <v>33</v>
      </c>
      <c r="C8" s="2" t="s">
        <v>19</v>
      </c>
      <c r="D8" s="5" t="s">
        <v>34</v>
      </c>
      <c r="E8" s="43">
        <f>'Unit Fungsi'!E8</f>
        <v>0.26383552526843329</v>
      </c>
      <c r="F8" s="18" t="s">
        <v>200</v>
      </c>
      <c r="G8" s="18">
        <f>CF!E4</f>
        <v>5.1299999999999998E-2</v>
      </c>
      <c r="H8" s="73">
        <f>E8*G8</f>
        <v>1.3534762446270627E-2</v>
      </c>
      <c r="I8" s="5" t="s">
        <v>22</v>
      </c>
      <c r="J8" s="43">
        <f>'Unit Fungsi'!H8</f>
        <v>0.36838263291716555</v>
      </c>
      <c r="K8" s="18" t="s">
        <v>203</v>
      </c>
      <c r="L8" s="44">
        <f>L4</f>
        <v>0.47899999999999998</v>
      </c>
      <c r="M8" s="52">
        <f>J8*L8</f>
        <v>0.17645528116732229</v>
      </c>
      <c r="N8" s="7"/>
      <c r="O8" s="7"/>
      <c r="P8" s="7"/>
      <c r="Q8" s="7"/>
      <c r="R8" s="7"/>
      <c r="S8" s="7"/>
      <c r="T8" s="7"/>
      <c r="U8" s="24"/>
      <c r="V8" s="24"/>
      <c r="W8" s="8" t="s">
        <v>24</v>
      </c>
      <c r="X8" s="44">
        <f>'Unit Fungsi'!P8</f>
        <v>1.8789523638591357E-3</v>
      </c>
      <c r="Y8" s="20" t="s">
        <v>205</v>
      </c>
      <c r="Z8" s="71">
        <f t="shared" ref="Z8:Z10" si="1">Z4</f>
        <v>0.82899999999999996</v>
      </c>
      <c r="AA8" s="54">
        <f t="shared" ref="AA8:AA10" si="2">X8*Z8</f>
        <v>1.5576515096392234E-3</v>
      </c>
      <c r="AB8" s="19" t="s">
        <v>34</v>
      </c>
      <c r="AC8" s="43">
        <f>'Unit Fungsi'!S8</f>
        <v>0.26383552526843329</v>
      </c>
      <c r="AD8" s="20" t="s">
        <v>35</v>
      </c>
      <c r="AE8" s="7"/>
      <c r="AF8" s="7"/>
      <c r="AG8" s="7"/>
      <c r="AH8" s="24"/>
      <c r="AI8" s="24"/>
      <c r="AJ8" s="13"/>
      <c r="AK8" s="13"/>
      <c r="AL8" s="13"/>
      <c r="AM8" s="13"/>
      <c r="AN8" s="13"/>
      <c r="AO8" s="13"/>
      <c r="AP8" s="13"/>
      <c r="AQ8" s="13"/>
      <c r="AR8" s="14"/>
    </row>
    <row r="9" spans="1:44" ht="14.25" customHeight="1" x14ac:dyDescent="0.3">
      <c r="A9" s="353"/>
      <c r="B9" s="353"/>
      <c r="C9" s="2" t="s">
        <v>36</v>
      </c>
      <c r="D9" s="7"/>
      <c r="E9" s="45"/>
      <c r="F9" s="25"/>
      <c r="G9" s="16"/>
      <c r="H9" s="16"/>
      <c r="I9" s="7"/>
      <c r="J9" s="45"/>
      <c r="K9" s="25"/>
      <c r="L9" s="16"/>
      <c r="M9" s="16"/>
      <c r="N9" s="7"/>
      <c r="O9" s="7"/>
      <c r="P9" s="7"/>
      <c r="Q9" s="7"/>
      <c r="R9" s="7"/>
      <c r="S9" s="7"/>
      <c r="T9" s="7"/>
      <c r="U9" s="24"/>
      <c r="V9" s="24"/>
      <c r="W9" s="17" t="s">
        <v>29</v>
      </c>
      <c r="X9" s="44">
        <f>'Unit Fungsi'!P9</f>
        <v>2.8572493774321198E-2</v>
      </c>
      <c r="Y9" s="18" t="s">
        <v>206</v>
      </c>
      <c r="Z9" s="72">
        <f t="shared" si="1"/>
        <v>1.22</v>
      </c>
      <c r="AA9" s="56">
        <f t="shared" si="2"/>
        <v>3.4858442404671862E-2</v>
      </c>
      <c r="AB9" s="21"/>
      <c r="AC9" s="16"/>
      <c r="AD9" s="21"/>
      <c r="AE9" s="7"/>
      <c r="AF9" s="7"/>
      <c r="AG9" s="7"/>
      <c r="AH9" s="24"/>
      <c r="AI9" s="24"/>
      <c r="AJ9" s="13"/>
      <c r="AK9" s="13"/>
      <c r="AL9" s="13"/>
      <c r="AM9" s="13"/>
      <c r="AN9" s="13"/>
      <c r="AO9" s="13"/>
      <c r="AP9" s="13"/>
      <c r="AQ9" s="13"/>
      <c r="AR9" s="14"/>
    </row>
    <row r="10" spans="1:44" ht="14.25" customHeight="1" x14ac:dyDescent="0.3">
      <c r="A10" s="353"/>
      <c r="B10" s="353"/>
      <c r="C10" s="2"/>
      <c r="D10" s="7"/>
      <c r="E10" s="45"/>
      <c r="F10" s="25"/>
      <c r="G10" s="16"/>
      <c r="H10" s="16"/>
      <c r="I10" s="7"/>
      <c r="J10" s="45"/>
      <c r="K10" s="25"/>
      <c r="L10" s="16"/>
      <c r="M10" s="16"/>
      <c r="N10" s="7"/>
      <c r="O10" s="7"/>
      <c r="P10" s="7"/>
      <c r="Q10" s="7"/>
      <c r="R10" s="7"/>
      <c r="S10" s="7"/>
      <c r="T10" s="7"/>
      <c r="U10" s="24"/>
      <c r="V10" s="24"/>
      <c r="W10" s="17" t="s">
        <v>31</v>
      </c>
      <c r="X10" s="44">
        <f>'Unit Fungsi'!P10</f>
        <v>1.1167017176929894</v>
      </c>
      <c r="Y10" s="18" t="s">
        <v>207</v>
      </c>
      <c r="Z10" s="72">
        <f t="shared" si="1"/>
        <v>0.85299999999999998</v>
      </c>
      <c r="AA10" s="56">
        <f t="shared" si="2"/>
        <v>0.95254656519212</v>
      </c>
      <c r="AB10" s="21"/>
      <c r="AC10" s="16"/>
      <c r="AD10" s="21"/>
      <c r="AE10" s="7"/>
      <c r="AF10" s="7"/>
      <c r="AG10" s="7"/>
      <c r="AH10" s="24"/>
      <c r="AI10" s="24"/>
      <c r="AJ10" s="13"/>
      <c r="AK10" s="13"/>
      <c r="AL10" s="13"/>
      <c r="AM10" s="13"/>
      <c r="AN10" s="13"/>
      <c r="AO10" s="13"/>
      <c r="AP10" s="13"/>
      <c r="AQ10" s="13"/>
      <c r="AR10" s="14"/>
    </row>
    <row r="11" spans="1:44" ht="14.25" customHeight="1" x14ac:dyDescent="0.3">
      <c r="A11" s="354"/>
      <c r="B11" s="354"/>
      <c r="C11" s="2"/>
      <c r="D11" s="7"/>
      <c r="E11" s="45"/>
      <c r="F11" s="25"/>
      <c r="G11" s="16"/>
      <c r="H11" s="16"/>
      <c r="I11" s="7"/>
      <c r="J11" s="45"/>
      <c r="K11" s="25"/>
      <c r="L11" s="16"/>
      <c r="M11" s="16"/>
      <c r="N11" s="7"/>
      <c r="O11" s="7"/>
      <c r="P11" s="7"/>
      <c r="Q11" s="7"/>
      <c r="R11" s="7"/>
      <c r="S11" s="7"/>
      <c r="T11" s="7"/>
      <c r="U11" s="24"/>
      <c r="V11" s="24"/>
      <c r="W11" s="21"/>
      <c r="X11" s="46"/>
      <c r="Y11" s="22"/>
      <c r="Z11" s="22"/>
      <c r="AA11" s="22"/>
      <c r="AB11" s="21"/>
      <c r="AC11" s="16"/>
      <c r="AD11" s="21"/>
      <c r="AE11" s="7"/>
      <c r="AF11" s="7"/>
      <c r="AG11" s="7"/>
      <c r="AH11" s="24"/>
      <c r="AI11" s="24"/>
      <c r="AJ11" s="13"/>
      <c r="AK11" s="13"/>
      <c r="AL11" s="13"/>
      <c r="AM11" s="13"/>
      <c r="AN11" s="13"/>
      <c r="AO11" s="13"/>
      <c r="AP11" s="13"/>
      <c r="AQ11" s="13"/>
      <c r="AR11" s="14"/>
    </row>
    <row r="12" spans="1:44" ht="14.25" customHeight="1" x14ac:dyDescent="0.3">
      <c r="A12" s="356">
        <v>3</v>
      </c>
      <c r="B12" s="379" t="s">
        <v>37</v>
      </c>
      <c r="C12" s="10" t="s">
        <v>38</v>
      </c>
      <c r="D12" s="5" t="s">
        <v>39</v>
      </c>
      <c r="E12" s="47">
        <f>'Unit Fungsi'!E12</f>
        <v>24.839966543981944</v>
      </c>
      <c r="F12" s="58" t="s">
        <v>201</v>
      </c>
      <c r="G12" s="58">
        <v>0</v>
      </c>
      <c r="H12" s="59">
        <f>E12*G12</f>
        <v>0</v>
      </c>
      <c r="I12" s="5" t="s">
        <v>22</v>
      </c>
      <c r="J12" s="43">
        <f>'Unit Fungsi'!H12</f>
        <v>8.9641777063480463E-2</v>
      </c>
      <c r="K12" s="18" t="s">
        <v>203</v>
      </c>
      <c r="L12" s="44">
        <f>L4</f>
        <v>0.47899999999999998</v>
      </c>
      <c r="M12" s="52">
        <f>J12*L12</f>
        <v>4.2938411213407142E-2</v>
      </c>
      <c r="N12" s="10" t="s">
        <v>41</v>
      </c>
      <c r="O12" s="48">
        <f>'Unit Fungsi'!K12</f>
        <v>2.5838915890496632E-2</v>
      </c>
      <c r="P12" s="18" t="s">
        <v>203</v>
      </c>
      <c r="Q12" s="18">
        <v>0</v>
      </c>
      <c r="R12" s="60">
        <f t="shared" ref="R12:R16" si="3">O12*Q12</f>
        <v>0</v>
      </c>
      <c r="S12" s="7"/>
      <c r="T12" s="7"/>
      <c r="U12" s="294"/>
      <c r="V12" s="295"/>
      <c r="W12" s="8" t="s">
        <v>24</v>
      </c>
      <c r="X12" s="44">
        <f>'Unit Fungsi'!P12</f>
        <v>4.572219585385123E-4</v>
      </c>
      <c r="Y12" s="20" t="s">
        <v>205</v>
      </c>
      <c r="Z12" s="71">
        <f t="shared" ref="Z12:Z14" si="4">Z4</f>
        <v>0.82899999999999996</v>
      </c>
      <c r="AA12" s="54">
        <f t="shared" ref="AA12:AA14" si="5">X12*Z12</f>
        <v>3.790370036284267E-4</v>
      </c>
      <c r="AB12" s="19" t="s">
        <v>43</v>
      </c>
      <c r="AC12" s="49">
        <f>'Unit Fungsi'!S12</f>
        <v>22.057890291055969</v>
      </c>
      <c r="AD12" s="20" t="s">
        <v>40</v>
      </c>
      <c r="AE12" s="7"/>
      <c r="AF12" s="7"/>
      <c r="AG12" s="7"/>
      <c r="AH12" s="24"/>
      <c r="AI12" s="24"/>
      <c r="AJ12" s="13"/>
      <c r="AK12" s="13"/>
      <c r="AL12" s="13"/>
      <c r="AM12" s="13"/>
      <c r="AN12" s="13"/>
      <c r="AO12" s="13"/>
      <c r="AP12" s="13"/>
      <c r="AQ12" s="13"/>
      <c r="AR12" s="14"/>
    </row>
    <row r="13" spans="1:44" ht="14.25" customHeight="1" x14ac:dyDescent="0.3">
      <c r="A13" s="353"/>
      <c r="B13" s="353"/>
      <c r="C13" s="10"/>
      <c r="D13" s="7"/>
      <c r="E13" s="45"/>
      <c r="F13" s="25"/>
      <c r="G13" s="16"/>
      <c r="H13" s="16"/>
      <c r="I13" s="7"/>
      <c r="J13" s="45"/>
      <c r="K13" s="25"/>
      <c r="L13" s="16"/>
      <c r="M13" s="16"/>
      <c r="N13" s="10" t="s">
        <v>44</v>
      </c>
      <c r="O13" s="48">
        <f>'Unit Fungsi'!K13</f>
        <v>3.4478466078456207E-3</v>
      </c>
      <c r="P13" s="18" t="s">
        <v>203</v>
      </c>
      <c r="Q13" s="18">
        <v>0</v>
      </c>
      <c r="R13" s="60">
        <f t="shared" si="3"/>
        <v>0</v>
      </c>
      <c r="S13" s="7"/>
      <c r="T13" s="7"/>
      <c r="U13" s="294"/>
      <c r="V13" s="295"/>
      <c r="W13" s="17" t="s">
        <v>29</v>
      </c>
      <c r="X13" s="44">
        <f>'Unit Fungsi'!P13</f>
        <v>6.9527955125976721E-3</v>
      </c>
      <c r="Y13" s="18" t="s">
        <v>206</v>
      </c>
      <c r="Z13" s="72">
        <f t="shared" si="4"/>
        <v>1.22</v>
      </c>
      <c r="AA13" s="56">
        <f t="shared" si="5"/>
        <v>8.4824105253691606E-3</v>
      </c>
      <c r="AB13" s="7"/>
      <c r="AC13" s="16"/>
      <c r="AD13" s="7"/>
      <c r="AE13" s="7"/>
      <c r="AF13" s="7"/>
      <c r="AG13" s="7"/>
      <c r="AH13" s="24"/>
      <c r="AI13" s="24"/>
      <c r="AJ13" s="13"/>
      <c r="AK13" s="13"/>
      <c r="AL13" s="13"/>
      <c r="AM13" s="13"/>
      <c r="AN13" s="13"/>
      <c r="AO13" s="13"/>
      <c r="AP13" s="13"/>
      <c r="AQ13" s="13"/>
      <c r="AR13" s="14"/>
    </row>
    <row r="14" spans="1:44" ht="14.25" customHeight="1" x14ac:dyDescent="0.3">
      <c r="A14" s="353"/>
      <c r="B14" s="353"/>
      <c r="C14" s="10"/>
      <c r="D14" s="7"/>
      <c r="E14" s="45"/>
      <c r="F14" s="25"/>
      <c r="G14" s="16"/>
      <c r="H14" s="16"/>
      <c r="I14" s="7"/>
      <c r="J14" s="45"/>
      <c r="K14" s="25"/>
      <c r="L14" s="16"/>
      <c r="M14" s="16"/>
      <c r="N14" s="10" t="s">
        <v>45</v>
      </c>
      <c r="O14" s="48">
        <f>'Unit Fungsi'!K14</f>
        <v>0.71937191858710159</v>
      </c>
      <c r="P14" s="61" t="s">
        <v>203</v>
      </c>
      <c r="Q14" s="61">
        <v>0</v>
      </c>
      <c r="R14" s="60">
        <f t="shared" si="3"/>
        <v>0</v>
      </c>
      <c r="S14" s="7"/>
      <c r="T14" s="7"/>
      <c r="U14" s="296"/>
      <c r="V14" s="295"/>
      <c r="W14" s="17" t="s">
        <v>31</v>
      </c>
      <c r="X14" s="44">
        <f>'Unit Fungsi'!P14</f>
        <v>0.27173682328925053</v>
      </c>
      <c r="Y14" s="18" t="s">
        <v>207</v>
      </c>
      <c r="Z14" s="72">
        <f t="shared" si="4"/>
        <v>0.85299999999999998</v>
      </c>
      <c r="AA14" s="56">
        <f t="shared" si="5"/>
        <v>0.23179151026573069</v>
      </c>
      <c r="AB14" s="7"/>
      <c r="AC14" s="16"/>
      <c r="AD14" s="7"/>
      <c r="AE14" s="7"/>
      <c r="AF14" s="7"/>
      <c r="AG14" s="7"/>
      <c r="AH14" s="24"/>
      <c r="AI14" s="24"/>
      <c r="AJ14" s="13"/>
      <c r="AK14" s="13"/>
      <c r="AL14" s="13"/>
      <c r="AM14" s="13"/>
      <c r="AN14" s="13"/>
      <c r="AO14" s="13"/>
      <c r="AP14" s="13"/>
      <c r="AQ14" s="13"/>
      <c r="AR14" s="14"/>
    </row>
    <row r="15" spans="1:44" ht="14.25" customHeight="1" x14ac:dyDescent="0.3">
      <c r="A15" s="353"/>
      <c r="B15" s="353"/>
      <c r="C15" s="10"/>
      <c r="D15" s="7"/>
      <c r="E15" s="45"/>
      <c r="F15" s="25"/>
      <c r="G15" s="16"/>
      <c r="H15" s="16"/>
      <c r="I15" s="7"/>
      <c r="J15" s="45"/>
      <c r="K15" s="25"/>
      <c r="L15" s="16"/>
      <c r="M15" s="16"/>
      <c r="N15" s="10" t="s">
        <v>46</v>
      </c>
      <c r="O15" s="48">
        <f>'Unit Fungsi'!K15</f>
        <v>1.0797875586246475</v>
      </c>
      <c r="P15" s="61" t="s">
        <v>203</v>
      </c>
      <c r="Q15" s="61">
        <v>0</v>
      </c>
      <c r="R15" s="60">
        <f t="shared" si="3"/>
        <v>0</v>
      </c>
      <c r="S15" s="7"/>
      <c r="T15" s="7"/>
      <c r="U15" s="296"/>
      <c r="V15" s="295"/>
      <c r="W15" s="24"/>
      <c r="X15" s="16"/>
      <c r="Y15" s="25"/>
      <c r="Z15" s="25"/>
      <c r="AA15" s="25"/>
      <c r="AB15" s="7"/>
      <c r="AC15" s="16"/>
      <c r="AD15" s="7"/>
      <c r="AE15" s="7"/>
      <c r="AF15" s="7"/>
      <c r="AG15" s="7"/>
      <c r="AH15" s="24"/>
      <c r="AI15" s="24"/>
      <c r="AJ15" s="13"/>
      <c r="AK15" s="13"/>
      <c r="AL15" s="13"/>
      <c r="AM15" s="13"/>
      <c r="AN15" s="13"/>
      <c r="AO15" s="13"/>
      <c r="AP15" s="13"/>
      <c r="AQ15" s="13"/>
      <c r="AR15" s="14"/>
    </row>
    <row r="16" spans="1:44" ht="14.25" customHeight="1" x14ac:dyDescent="0.3">
      <c r="A16" s="353"/>
      <c r="B16" s="353"/>
      <c r="C16" s="10"/>
      <c r="D16" s="7"/>
      <c r="E16" s="45"/>
      <c r="F16" s="25"/>
      <c r="G16" s="16"/>
      <c r="H16" s="16"/>
      <c r="I16" s="7"/>
      <c r="J16" s="45"/>
      <c r="K16" s="25"/>
      <c r="L16" s="16"/>
      <c r="M16" s="16"/>
      <c r="N16" s="3" t="s">
        <v>47</v>
      </c>
      <c r="O16" s="48">
        <f>'Unit Fungsi'!K16</f>
        <v>3.1853188397032023E-2</v>
      </c>
      <c r="P16" s="61" t="s">
        <v>204</v>
      </c>
      <c r="Q16" s="61">
        <v>0</v>
      </c>
      <c r="R16" s="60">
        <f t="shared" si="3"/>
        <v>0</v>
      </c>
      <c r="S16" s="7"/>
      <c r="T16" s="7"/>
      <c r="U16" s="296"/>
      <c r="V16" s="295"/>
      <c r="W16" s="24"/>
      <c r="X16" s="16"/>
      <c r="Y16" s="25"/>
      <c r="Z16" s="25"/>
      <c r="AA16" s="25"/>
      <c r="AB16" s="7"/>
      <c r="AC16" s="16"/>
      <c r="AD16" s="7"/>
      <c r="AE16" s="7"/>
      <c r="AF16" s="7"/>
      <c r="AG16" s="7"/>
      <c r="AH16" s="24"/>
      <c r="AI16" s="24"/>
      <c r="AJ16" s="13"/>
      <c r="AK16" s="13"/>
      <c r="AL16" s="13"/>
      <c r="AM16" s="13"/>
      <c r="AN16" s="13"/>
      <c r="AO16" s="13"/>
      <c r="AP16" s="13"/>
      <c r="AQ16" s="13"/>
      <c r="AR16" s="14"/>
    </row>
    <row r="17" spans="1:44" ht="14.25" customHeight="1" x14ac:dyDescent="0.35">
      <c r="A17" s="354"/>
      <c r="B17" s="354"/>
      <c r="C17" s="10"/>
      <c r="D17" s="7"/>
      <c r="E17" s="45"/>
      <c r="F17" s="25"/>
      <c r="G17" s="16"/>
      <c r="H17" s="16"/>
      <c r="I17" s="7"/>
      <c r="J17" s="45"/>
      <c r="K17" s="25"/>
      <c r="L17" s="16"/>
      <c r="M17" s="16"/>
      <c r="N17" s="26"/>
      <c r="O17" s="26"/>
      <c r="P17" s="26"/>
      <c r="Q17" s="26"/>
      <c r="R17" s="26"/>
      <c r="S17" s="7"/>
      <c r="T17" s="7"/>
      <c r="U17" s="26"/>
      <c r="V17" s="26"/>
      <c r="W17" s="7"/>
      <c r="X17" s="16"/>
      <c r="Y17" s="25"/>
      <c r="Z17" s="16"/>
      <c r="AA17" s="16"/>
      <c r="AB17" s="7"/>
      <c r="AC17" s="16"/>
      <c r="AD17" s="7"/>
      <c r="AE17" s="7"/>
      <c r="AF17" s="7"/>
      <c r="AG17" s="7"/>
      <c r="AH17" s="24"/>
      <c r="AI17" s="24"/>
      <c r="AJ17" s="13"/>
      <c r="AK17" s="13"/>
      <c r="AL17" s="13"/>
      <c r="AM17" s="13"/>
      <c r="AN17" s="13"/>
      <c r="AO17" s="13"/>
      <c r="AP17" s="13"/>
      <c r="AQ17" s="13"/>
      <c r="AR17" s="14"/>
    </row>
    <row r="18" spans="1:44" ht="14.25" customHeight="1" x14ac:dyDescent="0.3">
      <c r="A18" s="378">
        <v>4</v>
      </c>
      <c r="B18" s="358" t="s">
        <v>49</v>
      </c>
      <c r="C18" s="14" t="s">
        <v>19</v>
      </c>
      <c r="D18" s="5" t="s">
        <v>50</v>
      </c>
      <c r="E18" s="43">
        <f>'Unit Fungsi'!E18</f>
        <v>24.839966543981944</v>
      </c>
      <c r="F18" s="18" t="s">
        <v>201</v>
      </c>
      <c r="G18" s="18">
        <v>0</v>
      </c>
      <c r="H18" s="60">
        <f>E18*G18</f>
        <v>0</v>
      </c>
      <c r="I18" s="3" t="s">
        <v>22</v>
      </c>
      <c r="J18" s="50">
        <f>'Unit Fungsi'!H18</f>
        <v>9.197851763478754</v>
      </c>
      <c r="K18" s="18" t="s">
        <v>203</v>
      </c>
      <c r="L18" s="51">
        <f>L4</f>
        <v>0.47899999999999998</v>
      </c>
      <c r="M18" s="52">
        <f>J18*L18</f>
        <v>4.4057709947063231</v>
      </c>
      <c r="N18" s="7"/>
      <c r="O18" s="7"/>
      <c r="P18" s="7"/>
      <c r="Q18" s="7"/>
      <c r="R18" s="7"/>
      <c r="S18" s="7"/>
      <c r="T18" s="7"/>
      <c r="U18" s="24"/>
      <c r="V18" s="24"/>
      <c r="W18" s="8" t="s">
        <v>24</v>
      </c>
      <c r="X18" s="44">
        <f>'Unit Fungsi'!P18</f>
        <v>4.6914061003794451E-2</v>
      </c>
      <c r="Y18" s="20" t="s">
        <v>205</v>
      </c>
      <c r="Z18" s="71">
        <f t="shared" ref="Z18:Z20" si="6">Z4</f>
        <v>0.82899999999999996</v>
      </c>
      <c r="AA18" s="54">
        <f t="shared" ref="AA18:AA20" si="7">X18*Z18</f>
        <v>3.8891756572145601E-2</v>
      </c>
      <c r="AB18" s="5" t="s">
        <v>50</v>
      </c>
      <c r="AC18" s="43">
        <f>'Unit Fungsi'!S18</f>
        <v>24.839966543981944</v>
      </c>
      <c r="AD18" s="6" t="s">
        <v>40</v>
      </c>
      <c r="AE18" s="7"/>
      <c r="AF18" s="7"/>
      <c r="AG18" s="7"/>
      <c r="AH18" s="24"/>
      <c r="AI18" s="24"/>
      <c r="AJ18" s="13"/>
      <c r="AK18" s="13"/>
      <c r="AL18" s="13"/>
      <c r="AM18" s="13"/>
      <c r="AN18" s="13"/>
      <c r="AO18" s="13"/>
      <c r="AP18" s="13"/>
      <c r="AQ18" s="13"/>
      <c r="AR18" s="14"/>
    </row>
    <row r="19" spans="1:44" ht="14.25" customHeight="1" x14ac:dyDescent="0.3">
      <c r="A19" s="353"/>
      <c r="B19" s="353"/>
      <c r="C19" s="14" t="s">
        <v>51</v>
      </c>
      <c r="D19" s="7"/>
      <c r="E19" s="16"/>
      <c r="F19" s="25"/>
      <c r="G19" s="16"/>
      <c r="H19" s="16"/>
      <c r="I19" s="7"/>
      <c r="J19" s="45"/>
      <c r="K19" s="25"/>
      <c r="L19" s="16"/>
      <c r="M19" s="16"/>
      <c r="N19" s="7"/>
      <c r="O19" s="7"/>
      <c r="P19" s="7"/>
      <c r="Q19" s="7"/>
      <c r="R19" s="7"/>
      <c r="S19" s="7"/>
      <c r="T19" s="7"/>
      <c r="U19" s="24"/>
      <c r="V19" s="24"/>
      <c r="W19" s="17" t="s">
        <v>29</v>
      </c>
      <c r="X19" s="44">
        <f>'Unit Fungsi'!P19</f>
        <v>0.7134037784789391</v>
      </c>
      <c r="Y19" s="18" t="s">
        <v>206</v>
      </c>
      <c r="Z19" s="72">
        <f t="shared" si="6"/>
        <v>1.22</v>
      </c>
      <c r="AA19" s="56">
        <f t="shared" si="7"/>
        <v>0.87035260974430573</v>
      </c>
      <c r="AB19" s="7"/>
      <c r="AC19" s="16"/>
      <c r="AD19" s="7"/>
      <c r="AE19" s="7"/>
      <c r="AF19" s="7"/>
      <c r="AG19" s="7"/>
      <c r="AH19" s="24"/>
      <c r="AI19" s="24"/>
      <c r="AJ19" s="13"/>
      <c r="AK19" s="13"/>
      <c r="AL19" s="13"/>
      <c r="AM19" s="13"/>
      <c r="AN19" s="13"/>
      <c r="AO19" s="13"/>
      <c r="AP19" s="13"/>
      <c r="AQ19" s="13"/>
      <c r="AR19" s="14"/>
    </row>
    <row r="20" spans="1:44" ht="14.25" customHeight="1" x14ac:dyDescent="0.3">
      <c r="A20" s="353"/>
      <c r="B20" s="353"/>
      <c r="C20" s="14"/>
      <c r="D20" s="7"/>
      <c r="E20" s="16"/>
      <c r="F20" s="25"/>
      <c r="G20" s="16"/>
      <c r="H20" s="16"/>
      <c r="I20" s="7"/>
      <c r="J20" s="45"/>
      <c r="K20" s="25"/>
      <c r="L20" s="16"/>
      <c r="M20" s="16"/>
      <c r="N20" s="7"/>
      <c r="O20" s="7"/>
      <c r="P20" s="7"/>
      <c r="Q20" s="7"/>
      <c r="R20" s="7"/>
      <c r="S20" s="7"/>
      <c r="T20" s="7"/>
      <c r="U20" s="24"/>
      <c r="V20" s="24"/>
      <c r="W20" s="17" t="s">
        <v>31</v>
      </c>
      <c r="X20" s="44">
        <f>'Unit Fungsi'!P20</f>
        <v>27.882033368472637</v>
      </c>
      <c r="Y20" s="18" t="s">
        <v>207</v>
      </c>
      <c r="Z20" s="72">
        <f t="shared" si="6"/>
        <v>0.85299999999999998</v>
      </c>
      <c r="AA20" s="56">
        <f t="shared" si="7"/>
        <v>23.783374463307158</v>
      </c>
      <c r="AB20" s="7"/>
      <c r="AC20" s="16"/>
      <c r="AD20" s="7"/>
      <c r="AE20" s="7"/>
      <c r="AF20" s="7"/>
      <c r="AG20" s="7"/>
      <c r="AH20" s="24"/>
      <c r="AI20" s="24"/>
      <c r="AJ20" s="13"/>
      <c r="AK20" s="13"/>
      <c r="AL20" s="13"/>
      <c r="AM20" s="13"/>
      <c r="AN20" s="13"/>
      <c r="AO20" s="13"/>
      <c r="AP20" s="13"/>
      <c r="AQ20" s="13"/>
      <c r="AR20" s="14"/>
    </row>
    <row r="21" spans="1:44" ht="14.25" customHeight="1" x14ac:dyDescent="0.3">
      <c r="A21" s="354"/>
      <c r="B21" s="354"/>
      <c r="C21" s="14"/>
      <c r="D21" s="7"/>
      <c r="E21" s="16"/>
      <c r="F21" s="25"/>
      <c r="G21" s="16"/>
      <c r="H21" s="16"/>
      <c r="I21" s="7"/>
      <c r="J21" s="45"/>
      <c r="K21" s="25"/>
      <c r="L21" s="16"/>
      <c r="M21" s="16"/>
      <c r="N21" s="7"/>
      <c r="O21" s="7"/>
      <c r="P21" s="7"/>
      <c r="Q21" s="7"/>
      <c r="R21" s="7"/>
      <c r="S21" s="7"/>
      <c r="T21" s="7"/>
      <c r="U21" s="24"/>
      <c r="V21" s="24"/>
      <c r="W21" s="7"/>
      <c r="X21" s="46"/>
      <c r="Y21" s="25"/>
      <c r="Z21" s="16"/>
      <c r="AA21" s="16"/>
      <c r="AB21" s="7"/>
      <c r="AC21" s="16"/>
      <c r="AD21" s="7"/>
      <c r="AE21" s="7"/>
      <c r="AF21" s="7"/>
      <c r="AG21" s="7"/>
      <c r="AH21" s="24"/>
      <c r="AI21" s="24"/>
      <c r="AJ21" s="13"/>
      <c r="AK21" s="13"/>
      <c r="AL21" s="13"/>
      <c r="AM21" s="13"/>
      <c r="AN21" s="13"/>
      <c r="AO21" s="13"/>
      <c r="AP21" s="13"/>
      <c r="AQ21" s="13"/>
      <c r="AR21" s="14"/>
    </row>
    <row r="22" spans="1:44" ht="14.25" customHeight="1" x14ac:dyDescent="0.3">
      <c r="A22" s="356">
        <v>5</v>
      </c>
      <c r="B22" s="358" t="s">
        <v>52</v>
      </c>
      <c r="C22" s="28" t="s">
        <v>53</v>
      </c>
      <c r="D22" s="5" t="s">
        <v>54</v>
      </c>
      <c r="E22" s="6">
        <f>'Unit Fungsi'!E22</f>
        <v>1</v>
      </c>
      <c r="F22" s="18" t="s">
        <v>202</v>
      </c>
      <c r="G22" s="6">
        <f>CF!E6</f>
        <v>0.11700000000000001</v>
      </c>
      <c r="H22" s="60">
        <f>E22*G22</f>
        <v>0.11700000000000001</v>
      </c>
      <c r="I22" s="3" t="s">
        <v>22</v>
      </c>
      <c r="J22" s="48">
        <f>'Unit Fungsi'!H22</f>
        <v>0.15524651167584114</v>
      </c>
      <c r="K22" s="18" t="s">
        <v>203</v>
      </c>
      <c r="L22" s="51">
        <f>L4</f>
        <v>0.47899999999999998</v>
      </c>
      <c r="M22" s="52">
        <f>J22*L22</f>
        <v>7.4363079092727907E-2</v>
      </c>
      <c r="N22" s="7"/>
      <c r="O22" s="7"/>
      <c r="P22" s="7"/>
      <c r="Q22" s="7"/>
      <c r="R22" s="7"/>
      <c r="S22" s="7"/>
      <c r="T22" s="7"/>
      <c r="U22" s="24"/>
      <c r="V22" s="24"/>
      <c r="W22" s="8" t="s">
        <v>24</v>
      </c>
      <c r="X22" s="44">
        <f>'Unit Fungsi'!P22</f>
        <v>7.9184188946224924E-4</v>
      </c>
      <c r="Y22" s="20" t="s">
        <v>205</v>
      </c>
      <c r="Z22" s="71">
        <f t="shared" ref="Z22:Z24" si="8">Z4</f>
        <v>0.82899999999999996</v>
      </c>
      <c r="AA22" s="54">
        <f t="shared" ref="AA22:AA24" si="9">X22*Z22</f>
        <v>6.5643692636420457E-4</v>
      </c>
      <c r="AB22" s="17" t="s">
        <v>54</v>
      </c>
      <c r="AC22" s="6">
        <f>'Unit Fungsi'!S22</f>
        <v>1</v>
      </c>
      <c r="AD22" s="6" t="s">
        <v>55</v>
      </c>
      <c r="AE22" s="7"/>
      <c r="AF22" s="7"/>
      <c r="AG22" s="7"/>
      <c r="AH22" s="24"/>
      <c r="AI22" s="24"/>
      <c r="AJ22" s="13"/>
      <c r="AK22" s="13"/>
      <c r="AL22" s="13"/>
      <c r="AM22" s="13"/>
      <c r="AN22" s="13"/>
      <c r="AO22" s="13"/>
      <c r="AP22" s="13"/>
      <c r="AQ22" s="13"/>
      <c r="AR22" s="14"/>
    </row>
    <row r="23" spans="1:44" ht="14.25" customHeight="1" x14ac:dyDescent="0.3">
      <c r="A23" s="353"/>
      <c r="B23" s="353"/>
      <c r="C23" s="28"/>
      <c r="D23" s="7"/>
      <c r="E23" s="16"/>
      <c r="F23" s="25"/>
      <c r="G23" s="16"/>
      <c r="H23" s="16"/>
      <c r="I23" s="7"/>
      <c r="J23" s="45"/>
      <c r="K23" s="25"/>
      <c r="L23" s="16"/>
      <c r="M23" s="16"/>
      <c r="N23" s="7"/>
      <c r="O23" s="7"/>
      <c r="P23" s="7"/>
      <c r="Q23" s="7"/>
      <c r="R23" s="7"/>
      <c r="S23" s="7"/>
      <c r="T23" s="7"/>
      <c r="U23" s="24"/>
      <c r="V23" s="24"/>
      <c r="W23" s="17" t="s">
        <v>29</v>
      </c>
      <c r="X23" s="44">
        <f>'Unit Fungsi'!P23</f>
        <v>1.2041229938601588E-2</v>
      </c>
      <c r="Y23" s="18" t="s">
        <v>206</v>
      </c>
      <c r="Z23" s="72">
        <f t="shared" si="8"/>
        <v>1.22</v>
      </c>
      <c r="AA23" s="56">
        <f t="shared" si="9"/>
        <v>1.4690300525093937E-2</v>
      </c>
      <c r="AB23" s="24"/>
      <c r="AC23" s="16"/>
      <c r="AD23" s="16"/>
      <c r="AE23" s="7"/>
      <c r="AF23" s="7"/>
      <c r="AG23" s="7"/>
      <c r="AH23" s="24"/>
      <c r="AI23" s="24"/>
      <c r="AJ23" s="13"/>
      <c r="AK23" s="13"/>
      <c r="AL23" s="13"/>
      <c r="AM23" s="13"/>
      <c r="AN23" s="13"/>
      <c r="AO23" s="13"/>
      <c r="AP23" s="13"/>
      <c r="AQ23" s="13"/>
      <c r="AR23" s="14"/>
    </row>
    <row r="24" spans="1:44" ht="14.25" customHeight="1" x14ac:dyDescent="0.3">
      <c r="A24" s="353"/>
      <c r="B24" s="353"/>
      <c r="C24" s="28"/>
      <c r="D24" s="7"/>
      <c r="E24" s="16"/>
      <c r="F24" s="25"/>
      <c r="G24" s="16"/>
      <c r="H24" s="16"/>
      <c r="I24" s="7"/>
      <c r="J24" s="45"/>
      <c r="K24" s="25"/>
      <c r="L24" s="16"/>
      <c r="M24" s="16"/>
      <c r="N24" s="7"/>
      <c r="O24" s="7"/>
      <c r="P24" s="7"/>
      <c r="Q24" s="7"/>
      <c r="R24" s="7"/>
      <c r="S24" s="7"/>
      <c r="T24" s="7"/>
      <c r="U24" s="24"/>
      <c r="V24" s="24"/>
      <c r="W24" s="17" t="s">
        <v>31</v>
      </c>
      <c r="X24" s="44">
        <f>'Unit Fungsi'!P24</f>
        <v>0.47060863016644744</v>
      </c>
      <c r="Y24" s="18" t="s">
        <v>207</v>
      </c>
      <c r="Z24" s="72">
        <f t="shared" si="8"/>
        <v>0.85299999999999998</v>
      </c>
      <c r="AA24" s="56">
        <f t="shared" si="9"/>
        <v>0.40142916153197966</v>
      </c>
      <c r="AB24" s="24"/>
      <c r="AC24" s="16"/>
      <c r="AD24" s="16"/>
      <c r="AE24" s="7"/>
      <c r="AF24" s="7"/>
      <c r="AG24" s="7"/>
      <c r="AH24" s="24"/>
      <c r="AI24" s="24"/>
      <c r="AJ24" s="13"/>
      <c r="AK24" s="13"/>
      <c r="AL24" s="13"/>
      <c r="AM24" s="13"/>
      <c r="AN24" s="13"/>
      <c r="AO24" s="13"/>
      <c r="AP24" s="13"/>
      <c r="AQ24" s="13"/>
      <c r="AR24" s="14"/>
    </row>
    <row r="25" spans="1:44" ht="14.25" customHeight="1" x14ac:dyDescent="0.3">
      <c r="A25" s="354"/>
      <c r="B25" s="354"/>
      <c r="C25" s="28"/>
      <c r="D25" s="7"/>
      <c r="E25" s="16"/>
      <c r="F25" s="25"/>
      <c r="G25" s="16"/>
      <c r="H25" s="16"/>
      <c r="I25" s="7"/>
      <c r="J25" s="45"/>
      <c r="K25" s="25"/>
      <c r="L25" s="16"/>
      <c r="M25" s="16"/>
      <c r="N25" s="7"/>
      <c r="O25" s="7"/>
      <c r="P25" s="7"/>
      <c r="Q25" s="7"/>
      <c r="R25" s="7"/>
      <c r="S25" s="7"/>
      <c r="T25" s="7"/>
      <c r="U25" s="24"/>
      <c r="V25" s="24"/>
      <c r="W25" s="7"/>
      <c r="X25" s="46"/>
      <c r="Y25" s="25"/>
      <c r="Z25" s="16"/>
      <c r="AA25" s="16"/>
      <c r="AB25" s="24"/>
      <c r="AC25" s="16"/>
      <c r="AD25" s="16"/>
      <c r="AE25" s="7"/>
      <c r="AF25" s="7"/>
      <c r="AG25" s="7"/>
      <c r="AH25" s="24"/>
      <c r="AI25" s="24"/>
      <c r="AJ25" s="13"/>
      <c r="AK25" s="13"/>
      <c r="AL25" s="13"/>
      <c r="AM25" s="13"/>
      <c r="AN25" s="13"/>
      <c r="AO25" s="13"/>
      <c r="AP25" s="13"/>
      <c r="AQ25" s="13"/>
      <c r="AR25" s="14"/>
    </row>
    <row r="26" spans="1:44" ht="14.25" customHeight="1" x14ac:dyDescent="0.3">
      <c r="A26" s="378">
        <v>6</v>
      </c>
      <c r="B26" s="358" t="s">
        <v>56</v>
      </c>
      <c r="C26" s="28" t="s">
        <v>57</v>
      </c>
      <c r="D26" s="5" t="s">
        <v>54</v>
      </c>
      <c r="E26" s="6">
        <f>'Unit Fungsi'!E26</f>
        <v>1</v>
      </c>
      <c r="F26" s="18" t="s">
        <v>202</v>
      </c>
      <c r="G26" s="6">
        <f>G22</f>
        <v>0.11700000000000001</v>
      </c>
      <c r="H26" s="60">
        <f>E26*G26</f>
        <v>0.11700000000000001</v>
      </c>
      <c r="I26" s="3" t="s">
        <v>22</v>
      </c>
      <c r="J26" s="48">
        <f>'Unit Fungsi'!H26</f>
        <v>0.3662570239060281</v>
      </c>
      <c r="K26" s="18" t="s">
        <v>203</v>
      </c>
      <c r="L26" s="51">
        <f>L4</f>
        <v>0.47899999999999998</v>
      </c>
      <c r="M26" s="52">
        <f>J26*L26</f>
        <v>0.17543711445098745</v>
      </c>
      <c r="N26" s="7"/>
      <c r="O26" s="7"/>
      <c r="P26" s="7"/>
      <c r="Q26" s="7"/>
      <c r="R26" s="7"/>
      <c r="S26" s="7"/>
      <c r="T26" s="7"/>
      <c r="U26" s="24"/>
      <c r="V26" s="24"/>
      <c r="W26" s="8" t="s">
        <v>24</v>
      </c>
      <c r="X26" s="44">
        <f>'Unit Fungsi'!P26</f>
        <v>1.8681105984792374E-3</v>
      </c>
      <c r="Y26" s="20" t="s">
        <v>205</v>
      </c>
      <c r="Z26" s="71">
        <f t="shared" ref="Z26:Z28" si="10">Z4</f>
        <v>0.82899999999999996</v>
      </c>
      <c r="AA26" s="54">
        <f t="shared" ref="AA26:AA28" si="11">X26*Z26</f>
        <v>1.5486636861392878E-3</v>
      </c>
      <c r="AB26" s="17" t="s">
        <v>54</v>
      </c>
      <c r="AC26" s="6">
        <f>'Unit Fungsi'!S26</f>
        <v>1</v>
      </c>
      <c r="AD26" s="6" t="s">
        <v>55</v>
      </c>
      <c r="AE26" s="7"/>
      <c r="AF26" s="7"/>
      <c r="AG26" s="7"/>
      <c r="AH26" s="24"/>
      <c r="AI26" s="24"/>
      <c r="AJ26" s="13"/>
      <c r="AK26" s="13"/>
      <c r="AL26" s="13"/>
      <c r="AM26" s="13"/>
      <c r="AN26" s="13"/>
      <c r="AO26" s="13"/>
      <c r="AP26" s="13"/>
      <c r="AQ26" s="13"/>
      <c r="AR26" s="14"/>
    </row>
    <row r="27" spans="1:44" ht="14.25" customHeight="1" x14ac:dyDescent="0.3">
      <c r="A27" s="353"/>
      <c r="B27" s="353"/>
      <c r="C27" s="28"/>
      <c r="D27" s="7"/>
      <c r="E27" s="16"/>
      <c r="F27" s="25"/>
      <c r="G27" s="16"/>
      <c r="H27" s="16"/>
      <c r="I27" s="7"/>
      <c r="J27" s="45"/>
      <c r="K27" s="25"/>
      <c r="L27" s="16"/>
      <c r="M27" s="16"/>
      <c r="N27" s="7"/>
      <c r="O27" s="7"/>
      <c r="P27" s="7"/>
      <c r="Q27" s="7"/>
      <c r="R27" s="7"/>
      <c r="S27" s="7"/>
      <c r="T27" s="7"/>
      <c r="U27" s="24"/>
      <c r="V27" s="24"/>
      <c r="W27" s="17" t="s">
        <v>29</v>
      </c>
      <c r="X27" s="44">
        <f>'Unit Fungsi'!P27</f>
        <v>2.8407627288199351E-2</v>
      </c>
      <c r="Y27" s="18" t="s">
        <v>206</v>
      </c>
      <c r="Z27" s="72">
        <f t="shared" si="10"/>
        <v>1.22</v>
      </c>
      <c r="AA27" s="56">
        <f t="shared" si="11"/>
        <v>3.4657305291603206E-2</v>
      </c>
      <c r="AB27" s="24"/>
      <c r="AC27" s="16"/>
      <c r="AD27" s="16"/>
      <c r="AE27" s="7"/>
      <c r="AF27" s="7"/>
      <c r="AG27" s="7"/>
      <c r="AH27" s="24"/>
      <c r="AI27" s="24"/>
      <c r="AJ27" s="13"/>
      <c r="AK27" s="13"/>
      <c r="AL27" s="13"/>
      <c r="AM27" s="13"/>
      <c r="AN27" s="13"/>
      <c r="AO27" s="13"/>
      <c r="AP27" s="13"/>
      <c r="AQ27" s="13"/>
      <c r="AR27" s="14"/>
    </row>
    <row r="28" spans="1:44" ht="14.25" customHeight="1" x14ac:dyDescent="0.3">
      <c r="A28" s="353"/>
      <c r="B28" s="353"/>
      <c r="C28" s="28"/>
      <c r="D28" s="7"/>
      <c r="E28" s="16"/>
      <c r="F28" s="25"/>
      <c r="G28" s="16"/>
      <c r="H28" s="16"/>
      <c r="I28" s="7"/>
      <c r="J28" s="45"/>
      <c r="K28" s="25"/>
      <c r="L28" s="16"/>
      <c r="M28" s="16"/>
      <c r="N28" s="7"/>
      <c r="O28" s="7"/>
      <c r="P28" s="7"/>
      <c r="Q28" s="7"/>
      <c r="R28" s="7"/>
      <c r="S28" s="7"/>
      <c r="T28" s="7"/>
      <c r="U28" s="24"/>
      <c r="V28" s="24"/>
      <c r="W28" s="17" t="s">
        <v>31</v>
      </c>
      <c r="X28" s="44">
        <f>'Unit Fungsi'!P28</f>
        <v>1.1102582238315004</v>
      </c>
      <c r="Y28" s="18" t="s">
        <v>207</v>
      </c>
      <c r="Z28" s="72">
        <f t="shared" si="10"/>
        <v>0.85299999999999998</v>
      </c>
      <c r="AA28" s="56">
        <f t="shared" si="11"/>
        <v>0.94705026492826982</v>
      </c>
      <c r="AB28" s="24"/>
      <c r="AC28" s="16"/>
      <c r="AD28" s="16"/>
      <c r="AE28" s="7"/>
      <c r="AF28" s="7"/>
      <c r="AG28" s="7"/>
      <c r="AH28" s="24"/>
      <c r="AI28" s="24"/>
      <c r="AJ28" s="13"/>
      <c r="AK28" s="13"/>
      <c r="AL28" s="13"/>
      <c r="AM28" s="13"/>
      <c r="AN28" s="13"/>
      <c r="AO28" s="13"/>
      <c r="AP28" s="13"/>
      <c r="AQ28" s="13"/>
      <c r="AR28" s="14"/>
    </row>
    <row r="29" spans="1:44" ht="14.25" customHeight="1" x14ac:dyDescent="0.3">
      <c r="A29" s="354"/>
      <c r="B29" s="354"/>
      <c r="C29" s="28"/>
      <c r="D29" s="7"/>
      <c r="E29" s="16"/>
      <c r="F29" s="25"/>
      <c r="G29" s="16"/>
      <c r="H29" s="16"/>
      <c r="I29" s="7"/>
      <c r="J29" s="45"/>
      <c r="K29" s="25"/>
      <c r="L29" s="16"/>
      <c r="M29" s="16"/>
      <c r="N29" s="7"/>
      <c r="O29" s="7"/>
      <c r="P29" s="7"/>
      <c r="Q29" s="7"/>
      <c r="R29" s="7"/>
      <c r="S29" s="7"/>
      <c r="T29" s="7"/>
      <c r="U29" s="24"/>
      <c r="V29" s="24"/>
      <c r="W29" s="7"/>
      <c r="X29" s="46"/>
      <c r="Y29" s="25"/>
      <c r="Z29" s="16"/>
      <c r="AA29" s="16"/>
      <c r="AB29" s="24"/>
      <c r="AC29" s="16"/>
      <c r="AD29" s="16"/>
      <c r="AE29" s="7"/>
      <c r="AF29" s="7"/>
      <c r="AG29" s="7"/>
      <c r="AH29" s="24"/>
      <c r="AI29" s="24"/>
      <c r="AJ29" s="13"/>
      <c r="AK29" s="13"/>
      <c r="AL29" s="13"/>
      <c r="AM29" s="13"/>
      <c r="AN29" s="13"/>
      <c r="AO29" s="13"/>
      <c r="AP29" s="13"/>
      <c r="AQ29" s="13"/>
      <c r="AR29" s="14"/>
    </row>
    <row r="30" spans="1:44" ht="14.25" customHeight="1" x14ac:dyDescent="0.3">
      <c r="A30" s="356">
        <v>7</v>
      </c>
      <c r="B30" s="358" t="s">
        <v>58</v>
      </c>
      <c r="C30" s="28" t="s">
        <v>28</v>
      </c>
      <c r="D30" s="5" t="s">
        <v>54</v>
      </c>
      <c r="E30" s="6">
        <f>'Unit Fungsi'!E30</f>
        <v>1</v>
      </c>
      <c r="F30" s="18" t="s">
        <v>202</v>
      </c>
      <c r="G30" s="6">
        <f>G22</f>
        <v>0.11700000000000001</v>
      </c>
      <c r="H30" s="60">
        <f>E30*G30</f>
        <v>0.11700000000000001</v>
      </c>
      <c r="I30" s="5" t="s">
        <v>22</v>
      </c>
      <c r="J30" s="43">
        <f>'Unit Fungsi'!H30</f>
        <v>0.94669558955441135</v>
      </c>
      <c r="K30" s="18" t="s">
        <v>203</v>
      </c>
      <c r="L30" s="44">
        <f>L4</f>
        <v>0.47899999999999998</v>
      </c>
      <c r="M30" s="52">
        <f>J30*L30</f>
        <v>0.453467187396563</v>
      </c>
      <c r="N30" s="7"/>
      <c r="O30" s="7"/>
      <c r="P30" s="7"/>
      <c r="Q30" s="7"/>
      <c r="R30" s="7"/>
      <c r="S30" s="7"/>
      <c r="T30" s="7"/>
      <c r="U30" s="24"/>
      <c r="V30" s="24"/>
      <c r="W30" s="8" t="s">
        <v>24</v>
      </c>
      <c r="X30" s="44">
        <f>'Unit Fungsi'!P30</f>
        <v>4.828663886139983E-3</v>
      </c>
      <c r="Y30" s="20" t="s">
        <v>205</v>
      </c>
      <c r="Z30" s="71">
        <f t="shared" ref="Z30:Z32" si="12">Z4</f>
        <v>0.82899999999999996</v>
      </c>
      <c r="AA30" s="54">
        <f t="shared" ref="AA30:AA32" si="13">X30*Z30</f>
        <v>4.0029623616100454E-3</v>
      </c>
      <c r="AB30" s="17" t="s">
        <v>54</v>
      </c>
      <c r="AC30" s="6">
        <f>'Unit Fungsi'!S30</f>
        <v>1</v>
      </c>
      <c r="AD30" s="6" t="s">
        <v>55</v>
      </c>
      <c r="AE30" s="7"/>
      <c r="AF30" s="7"/>
      <c r="AG30" s="7"/>
      <c r="AH30" s="24"/>
      <c r="AI30" s="24"/>
      <c r="AJ30" s="13"/>
      <c r="AK30" s="13"/>
      <c r="AL30" s="13"/>
      <c r="AM30" s="13"/>
      <c r="AN30" s="13"/>
      <c r="AO30" s="13"/>
      <c r="AP30" s="13"/>
      <c r="AQ30" s="13"/>
      <c r="AR30" s="14"/>
    </row>
    <row r="31" spans="1:44" ht="14.25" customHeight="1" x14ac:dyDescent="0.3">
      <c r="A31" s="353"/>
      <c r="B31" s="353"/>
      <c r="C31" s="29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7" t="s">
        <v>29</v>
      </c>
      <c r="X31" s="44">
        <f>'Unit Fungsi'!P31</f>
        <v>7.3427603317019252E-2</v>
      </c>
      <c r="Y31" s="18" t="s">
        <v>206</v>
      </c>
      <c r="Z31" s="72">
        <f t="shared" si="12"/>
        <v>1.22</v>
      </c>
      <c r="AA31" s="56">
        <f t="shared" si="13"/>
        <v>8.9581676046763481E-2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4"/>
    </row>
    <row r="32" spans="1:44" ht="14.25" customHeight="1" x14ac:dyDescent="0.3">
      <c r="A32" s="353"/>
      <c r="B32" s="353"/>
      <c r="C32" s="28" t="s">
        <v>57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7" t="s">
        <v>31</v>
      </c>
      <c r="X32" s="44">
        <f>'Unit Fungsi'!P32</f>
        <v>2.8697785848810766</v>
      </c>
      <c r="Y32" s="18" t="s">
        <v>207</v>
      </c>
      <c r="Z32" s="72">
        <f t="shared" si="12"/>
        <v>0.85299999999999998</v>
      </c>
      <c r="AA32" s="56">
        <f t="shared" si="13"/>
        <v>2.4479211329035584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</row>
    <row r="33" spans="1:44" ht="14.25" customHeight="1" x14ac:dyDescent="0.3">
      <c r="A33" s="353"/>
      <c r="B33" s="353"/>
      <c r="C33" s="28" t="s">
        <v>19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4"/>
    </row>
    <row r="34" spans="1:44" ht="14.25" customHeight="1" x14ac:dyDescent="0.3">
      <c r="A34" s="353"/>
      <c r="B34" s="353"/>
      <c r="C34" s="29" t="s">
        <v>60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4"/>
    </row>
    <row r="35" spans="1:44" ht="14.25" customHeight="1" x14ac:dyDescent="0.3">
      <c r="A35" s="353"/>
      <c r="B35" s="353"/>
      <c r="C35" s="29" t="s">
        <v>61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4"/>
    </row>
    <row r="36" spans="1:44" ht="14.25" customHeight="1" x14ac:dyDescent="0.3">
      <c r="A36" s="353"/>
      <c r="B36" s="353"/>
      <c r="C36" s="28" t="s">
        <v>62</v>
      </c>
      <c r="D36" s="13"/>
      <c r="E36" s="30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4"/>
    </row>
    <row r="37" spans="1:44" ht="14.25" customHeight="1" x14ac:dyDescent="0.3">
      <c r="A37" s="353"/>
      <c r="B37" s="353"/>
      <c r="C37" s="29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4"/>
    </row>
    <row r="38" spans="1:44" ht="14.25" customHeight="1" x14ac:dyDescent="0.3">
      <c r="A38" s="357"/>
      <c r="B38" s="357"/>
      <c r="C38" s="266" t="s">
        <v>64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86"/>
    </row>
    <row r="39" spans="1:44" s="264" customFormat="1" ht="14.25" customHeight="1" x14ac:dyDescent="0.3">
      <c r="A39" s="346">
        <v>8</v>
      </c>
      <c r="B39" s="349" t="s">
        <v>272</v>
      </c>
      <c r="C39" s="268" t="s">
        <v>283</v>
      </c>
      <c r="D39" s="283" t="s">
        <v>54</v>
      </c>
      <c r="E39" s="289">
        <f>'Unit Fungsi'!E39</f>
        <v>1</v>
      </c>
      <c r="F39" s="18" t="s">
        <v>202</v>
      </c>
      <c r="G39" s="18">
        <f>G30</f>
        <v>0.11700000000000001</v>
      </c>
      <c r="H39" s="60">
        <f>E39*G39</f>
        <v>0.11700000000000001</v>
      </c>
      <c r="I39" s="284" t="s">
        <v>22</v>
      </c>
      <c r="J39" s="291">
        <f>'Unit Fungsi'!H39</f>
        <v>0.45896578825032147</v>
      </c>
      <c r="K39" s="18" t="s">
        <v>203</v>
      </c>
      <c r="L39" s="55">
        <f>L12</f>
        <v>0.47899999999999998</v>
      </c>
      <c r="M39" s="57">
        <f>J39*L39</f>
        <v>0.21984461257190396</v>
      </c>
      <c r="N39" s="269"/>
      <c r="O39" s="269"/>
      <c r="P39" s="269"/>
      <c r="Q39" s="269"/>
      <c r="R39" s="269"/>
      <c r="S39" s="291">
        <f>'Unit Fungsi'!M39</f>
        <v>21.936256196726596</v>
      </c>
      <c r="T39" s="18" t="s">
        <v>203</v>
      </c>
      <c r="U39" s="293"/>
      <c r="V39" s="293"/>
      <c r="W39" s="277" t="s">
        <v>29</v>
      </c>
      <c r="X39" s="291">
        <f>'Unit Fungsi'!P39</f>
        <v>0.40990362334425118</v>
      </c>
      <c r="Y39" s="18" t="s">
        <v>206</v>
      </c>
      <c r="Z39" s="297">
        <f>Z31</f>
        <v>1.22</v>
      </c>
      <c r="AA39" s="56">
        <f t="shared" ref="AA39:AA40" si="14">X39*Z39</f>
        <v>0.50008242047998641</v>
      </c>
      <c r="AB39" s="17" t="s">
        <v>54</v>
      </c>
      <c r="AC39" s="264">
        <f>'Unit Fungsi'!S39</f>
        <v>1</v>
      </c>
      <c r="AD39" s="18" t="s">
        <v>55</v>
      </c>
      <c r="AE39" s="269"/>
      <c r="AF39" s="269"/>
      <c r="AG39" s="269"/>
      <c r="AH39" s="269"/>
      <c r="AI39" s="269"/>
      <c r="AJ39" s="291" t="str">
        <f>'Unit Fungsi'!X39</f>
        <v>Air Limbah</v>
      </c>
      <c r="AK39" s="292">
        <f>'Unit Fungsi'!Y39</f>
        <v>21.936256196726596</v>
      </c>
      <c r="AL39" s="277" t="s">
        <v>200</v>
      </c>
      <c r="AM39" s="292">
        <v>0.53900000000000003</v>
      </c>
      <c r="AN39" s="300">
        <f>AM39*AK39</f>
        <v>11.823642090035635</v>
      </c>
      <c r="AO39" s="269"/>
      <c r="AP39" s="269"/>
      <c r="AQ39" s="269"/>
      <c r="AR39" s="287"/>
    </row>
    <row r="40" spans="1:44" s="264" customFormat="1" ht="14.25" customHeight="1" x14ac:dyDescent="0.3">
      <c r="A40" s="347"/>
      <c r="B40" s="350"/>
      <c r="C40" s="268"/>
      <c r="D40" s="284" t="s">
        <v>156</v>
      </c>
      <c r="E40" s="290">
        <f>'Unit Fungsi'!E40</f>
        <v>2.2355685488644349E-6</v>
      </c>
      <c r="F40" s="18" t="s">
        <v>202</v>
      </c>
      <c r="G40" s="293"/>
      <c r="H40" s="293"/>
      <c r="I40" s="284" t="s">
        <v>273</v>
      </c>
      <c r="J40" s="291">
        <f>'Unit Fungsi'!H40</f>
        <v>5.7370723531290184E-2</v>
      </c>
      <c r="K40" s="18" t="s">
        <v>203</v>
      </c>
      <c r="L40" s="55">
        <v>2.89</v>
      </c>
      <c r="M40" s="57">
        <f>J40*L40</f>
        <v>0.16580139100542865</v>
      </c>
      <c r="N40" s="269"/>
      <c r="O40" s="269"/>
      <c r="P40" s="269"/>
      <c r="Q40" s="269"/>
      <c r="R40" s="269"/>
      <c r="S40" s="269"/>
      <c r="T40" s="269"/>
      <c r="U40" s="269"/>
      <c r="V40" s="269"/>
      <c r="W40" s="277" t="s">
        <v>31</v>
      </c>
      <c r="X40" s="291">
        <f>'Unit Fungsi'!P40</f>
        <v>0.2834240641956331</v>
      </c>
      <c r="Y40" s="18" t="s">
        <v>207</v>
      </c>
      <c r="Z40" s="297">
        <f>Z32</f>
        <v>0.85299999999999998</v>
      </c>
      <c r="AA40" s="56">
        <f t="shared" si="14"/>
        <v>0.24176072675887503</v>
      </c>
      <c r="AB40" s="269"/>
      <c r="AC40" s="269"/>
      <c r="AD40" s="269"/>
      <c r="AE40" s="282" t="s">
        <v>195</v>
      </c>
      <c r="AF40" s="291">
        <f>'Unit Fungsi'!V40</f>
        <v>2.5277799059977782E-6</v>
      </c>
      <c r="AG40" s="279" t="s">
        <v>202</v>
      </c>
      <c r="AH40" s="298">
        <v>2.85</v>
      </c>
      <c r="AI40" s="299">
        <f>AF40*AH40</f>
        <v>7.2041727320936676E-6</v>
      </c>
      <c r="AJ40" s="269"/>
      <c r="AK40" s="269"/>
      <c r="AL40" s="269"/>
      <c r="AM40" s="269"/>
      <c r="AN40" s="269"/>
      <c r="AO40" s="269"/>
      <c r="AP40" s="269"/>
      <c r="AQ40" s="269"/>
      <c r="AR40" s="287"/>
    </row>
    <row r="41" spans="1:44" s="264" customFormat="1" ht="14.25" customHeight="1" x14ac:dyDescent="0.3">
      <c r="A41" s="347"/>
      <c r="B41" s="350"/>
      <c r="C41" s="268"/>
      <c r="D41" s="284" t="s">
        <v>274</v>
      </c>
      <c r="E41" s="290">
        <f>'Unit Fungsi'!E41</f>
        <v>5.6919884053949107E-5</v>
      </c>
      <c r="F41" s="18" t="s">
        <v>202</v>
      </c>
      <c r="G41" s="293"/>
      <c r="H41" s="293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82" t="s">
        <v>275</v>
      </c>
      <c r="AF41" s="291">
        <f>'Unit Fungsi'!V41</f>
        <v>7.9553869134066085E-8</v>
      </c>
      <c r="AG41" s="279" t="s">
        <v>202</v>
      </c>
      <c r="AH41" s="298">
        <v>1.97</v>
      </c>
      <c r="AI41" s="299">
        <f t="shared" ref="AI41:AI48" si="15">AF41*AH41</f>
        <v>1.5672112219411018E-7</v>
      </c>
      <c r="AJ41" s="269"/>
      <c r="AK41" s="269"/>
      <c r="AL41" s="269"/>
      <c r="AM41" s="269"/>
      <c r="AN41" s="269"/>
      <c r="AO41" s="269"/>
      <c r="AP41" s="269"/>
      <c r="AQ41" s="269"/>
      <c r="AR41" s="287"/>
    </row>
    <row r="42" spans="1:44" s="264" customFormat="1" ht="14.25" customHeight="1" x14ac:dyDescent="0.3">
      <c r="A42" s="347"/>
      <c r="B42" s="350"/>
      <c r="C42" s="268"/>
      <c r="D42" s="284" t="s">
        <v>126</v>
      </c>
      <c r="E42" s="290">
        <f>'Unit Fungsi'!E42</f>
        <v>6.033037297453697E-5</v>
      </c>
      <c r="F42" s="18" t="s">
        <v>202</v>
      </c>
      <c r="G42" s="293"/>
      <c r="H42" s="293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82" t="s">
        <v>276</v>
      </c>
      <c r="AF42" s="291">
        <f>'Unit Fungsi'!V42</f>
        <v>1.4464339842557471E-6</v>
      </c>
      <c r="AG42" s="279" t="s">
        <v>202</v>
      </c>
      <c r="AH42" s="298">
        <v>0.53900000000000003</v>
      </c>
      <c r="AI42" s="299">
        <f t="shared" si="15"/>
        <v>7.7962791751384773E-7</v>
      </c>
      <c r="AJ42" s="269"/>
      <c r="AK42" s="269"/>
      <c r="AL42" s="269"/>
      <c r="AM42" s="269"/>
      <c r="AN42" s="269"/>
      <c r="AO42" s="269"/>
      <c r="AP42" s="269"/>
      <c r="AQ42" s="269"/>
      <c r="AR42" s="287"/>
    </row>
    <row r="43" spans="1:44" s="264" customFormat="1" ht="14.25" customHeight="1" x14ac:dyDescent="0.3">
      <c r="A43" s="347"/>
      <c r="B43" s="350"/>
      <c r="C43" s="268"/>
      <c r="D43" s="284" t="s">
        <v>127</v>
      </c>
      <c r="E43" s="290">
        <f>'Unit Fungsi'!E43</f>
        <v>1.9306503372293342E-5</v>
      </c>
      <c r="F43" s="18" t="s">
        <v>202</v>
      </c>
      <c r="G43" s="293"/>
      <c r="H43" s="293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82" t="s">
        <v>277</v>
      </c>
      <c r="AF43" s="291">
        <f>'Unit Fungsi'!V43</f>
        <v>5.6919884053949109E-8</v>
      </c>
      <c r="AG43" s="279" t="s">
        <v>202</v>
      </c>
      <c r="AH43" s="298">
        <v>0</v>
      </c>
      <c r="AI43" s="299">
        <f t="shared" si="15"/>
        <v>0</v>
      </c>
      <c r="AJ43" s="269"/>
      <c r="AK43" s="269"/>
      <c r="AL43" s="269"/>
      <c r="AM43" s="269"/>
      <c r="AN43" s="269"/>
      <c r="AO43" s="269"/>
      <c r="AP43" s="269"/>
      <c r="AQ43" s="269"/>
      <c r="AR43" s="287"/>
    </row>
    <row r="44" spans="1:44" s="264" customFormat="1" ht="14.25" customHeight="1" x14ac:dyDescent="0.3">
      <c r="A44" s="347"/>
      <c r="B44" s="350"/>
      <c r="C44" s="268"/>
      <c r="D44" s="284" t="s">
        <v>128</v>
      </c>
      <c r="E44" s="290">
        <f>'Unit Fungsi'!E44</f>
        <v>3.6902147023324741E-3</v>
      </c>
      <c r="F44" s="18" t="s">
        <v>202</v>
      </c>
      <c r="G44" s="293"/>
      <c r="H44" s="293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82" t="s">
        <v>278</v>
      </c>
      <c r="AF44" s="291">
        <f>'Unit Fungsi'!V44</f>
        <v>6.0330372974536973E-8</v>
      </c>
      <c r="AG44" s="279" t="s">
        <v>202</v>
      </c>
      <c r="AH44" s="298">
        <v>0</v>
      </c>
      <c r="AI44" s="299">
        <f t="shared" si="15"/>
        <v>0</v>
      </c>
      <c r="AJ44" s="269"/>
      <c r="AK44" s="269"/>
      <c r="AL44" s="269"/>
      <c r="AM44" s="269"/>
      <c r="AN44" s="269"/>
      <c r="AO44" s="269"/>
      <c r="AP44" s="269"/>
      <c r="AQ44" s="269"/>
      <c r="AR44" s="287"/>
    </row>
    <row r="45" spans="1:44" s="264" customFormat="1" ht="14.25" customHeight="1" x14ac:dyDescent="0.3">
      <c r="A45" s="347"/>
      <c r="B45" s="350"/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82" t="s">
        <v>279</v>
      </c>
      <c r="AF45" s="291">
        <f>'Unit Fungsi'!V45</f>
        <v>1.9306503372293343E-8</v>
      </c>
      <c r="AG45" s="279" t="s">
        <v>202</v>
      </c>
      <c r="AH45" s="298">
        <v>0.66600000000000004</v>
      </c>
      <c r="AI45" s="299">
        <f t="shared" si="15"/>
        <v>1.2858131245947367E-8</v>
      </c>
      <c r="AJ45" s="269"/>
      <c r="AK45" s="269"/>
      <c r="AL45" s="269"/>
      <c r="AM45" s="269"/>
      <c r="AN45" s="269"/>
      <c r="AO45" s="269"/>
      <c r="AP45" s="269"/>
      <c r="AQ45" s="269"/>
      <c r="AR45" s="287"/>
    </row>
    <row r="46" spans="1:44" s="264" customFormat="1" ht="14.25" customHeight="1" x14ac:dyDescent="0.3">
      <c r="A46" s="347"/>
      <c r="B46" s="350"/>
      <c r="C46" s="268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82" t="s">
        <v>280</v>
      </c>
      <c r="AF46" s="291">
        <f>'Unit Fungsi'!V46</f>
        <v>3.690214702332474E-6</v>
      </c>
      <c r="AG46" s="279" t="s">
        <v>202</v>
      </c>
      <c r="AH46" s="298">
        <v>8.5500000000000007</v>
      </c>
      <c r="AI46" s="299">
        <f t="shared" si="15"/>
        <v>3.1551335704942655E-5</v>
      </c>
      <c r="AJ46" s="269"/>
      <c r="AK46" s="269"/>
      <c r="AL46" s="269"/>
      <c r="AM46" s="269"/>
      <c r="AN46" s="269"/>
      <c r="AO46" s="269"/>
      <c r="AP46" s="269"/>
      <c r="AQ46" s="269"/>
      <c r="AR46" s="287"/>
    </row>
    <row r="47" spans="1:44" s="264" customFormat="1" ht="14.25" customHeight="1" x14ac:dyDescent="0.3">
      <c r="A47" s="347"/>
      <c r="B47" s="350"/>
      <c r="C47" s="268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82" t="s">
        <v>281</v>
      </c>
      <c r="AF47" s="291">
        <f>'Unit Fungsi'!V47</f>
        <v>3.1188732785514542E-7</v>
      </c>
      <c r="AG47" s="279" t="s">
        <v>202</v>
      </c>
      <c r="AH47" s="298">
        <v>0.03</v>
      </c>
      <c r="AI47" s="299">
        <f t="shared" si="15"/>
        <v>9.3566198356543616E-9</v>
      </c>
      <c r="AJ47" s="269"/>
      <c r="AK47" s="269"/>
      <c r="AL47" s="269"/>
      <c r="AM47" s="269"/>
      <c r="AN47" s="269"/>
      <c r="AO47" s="269"/>
      <c r="AP47" s="269"/>
      <c r="AQ47" s="269"/>
      <c r="AR47" s="287"/>
    </row>
    <row r="48" spans="1:44" s="264" customFormat="1" ht="14.25" customHeight="1" x14ac:dyDescent="0.3">
      <c r="A48" s="347"/>
      <c r="B48" s="350"/>
      <c r="C48" s="268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82" t="s">
        <v>282</v>
      </c>
      <c r="AF48" s="291">
        <f>'Unit Fungsi'!V48</f>
        <v>9.2318406988326563E-9</v>
      </c>
      <c r="AG48" s="279" t="s">
        <v>202</v>
      </c>
      <c r="AH48" s="298">
        <v>2.85</v>
      </c>
      <c r="AI48" s="299">
        <f t="shared" si="15"/>
        <v>2.6310745991673072E-8</v>
      </c>
      <c r="AJ48" s="269"/>
      <c r="AK48" s="269"/>
      <c r="AL48" s="269"/>
      <c r="AM48" s="269"/>
      <c r="AN48" s="269"/>
      <c r="AO48" s="269"/>
      <c r="AP48" s="269"/>
      <c r="AQ48" s="269"/>
      <c r="AR48" s="287"/>
    </row>
    <row r="49" spans="1:44" s="264" customFormat="1" ht="14.25" customHeight="1" x14ac:dyDescent="0.3">
      <c r="A49" s="348"/>
      <c r="B49" s="351"/>
      <c r="C49" s="268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87"/>
    </row>
    <row r="50" spans="1:44" ht="14.25" customHeight="1" x14ac:dyDescent="0.3"/>
    <row r="51" spans="1:44" ht="14.25" customHeight="1" x14ac:dyDescent="0.35">
      <c r="B51" s="62" t="s">
        <v>92</v>
      </c>
      <c r="D51" s="63" t="s">
        <v>87</v>
      </c>
      <c r="E51" s="64">
        <f>SUM(H4,M4,AA4:AA6)</f>
        <v>0.16460586972542537</v>
      </c>
      <c r="F51">
        <v>0.16460586972542537</v>
      </c>
      <c r="G51" s="381" t="s">
        <v>210</v>
      </c>
      <c r="H51" s="381"/>
      <c r="I51" s="381"/>
      <c r="J51" s="33"/>
    </row>
    <row r="52" spans="1:44" ht="14.25" customHeight="1" x14ac:dyDescent="0.35">
      <c r="B52" s="65">
        <f>SUM(H4,H8,H12,H18,H22,H26,H30,H39,M39,M40,AA39,AA40,AI40,AI41,AI42,AI43,AI44,AI45,AI46,AI47,AI48,AN39,M4,M8,M12,M18,M22,M26,M30,R12:R16,AA4:AA6,AA8:AA10,AA12:AA14,AA18:AA20,AA22:AA24,AA26:AA28,AA30:AA32)</f>
        <v>48.78951603215998</v>
      </c>
      <c r="D52" s="63" t="s">
        <v>88</v>
      </c>
      <c r="E52" s="64">
        <f>SUM(H8,M8,AA8:AA10)</f>
        <v>1.1789527027200239</v>
      </c>
      <c r="F52">
        <v>1.1789527027200239</v>
      </c>
      <c r="G52" s="195" t="s">
        <v>86</v>
      </c>
      <c r="H52" s="195" t="s">
        <v>211</v>
      </c>
      <c r="I52" s="195" t="s">
        <v>212</v>
      </c>
      <c r="J52" s="33"/>
    </row>
    <row r="53" spans="1:44" ht="14.25" customHeight="1" x14ac:dyDescent="0.35">
      <c r="B53" s="62" t="s">
        <v>93</v>
      </c>
      <c r="D53" s="63" t="s">
        <v>89</v>
      </c>
      <c r="E53" s="64">
        <f>SUM(H12,M12,R12:R16,AA12:AA14)</f>
        <v>0.28359136900813542</v>
      </c>
      <c r="F53">
        <v>0.28359136900813542</v>
      </c>
      <c r="G53" s="198">
        <f>H4</f>
        <v>4.6338261062711319E-6</v>
      </c>
      <c r="H53" s="203">
        <f>(G53/$G$90)*100%</f>
        <v>1.3100878997927462E-7</v>
      </c>
      <c r="I53" s="199"/>
      <c r="J53" s="33"/>
    </row>
    <row r="54" spans="1:44" ht="14.25" customHeight="1" x14ac:dyDescent="0.35">
      <c r="D54" s="63" t="s">
        <v>90</v>
      </c>
      <c r="E54" s="64">
        <f>SUM(H18,M18,AA18:AA20)</f>
        <v>29.098389824329935</v>
      </c>
      <c r="F54">
        <v>29.098389824329935</v>
      </c>
      <c r="G54" s="198">
        <f>H8</f>
        <v>1.3534762446270627E-2</v>
      </c>
      <c r="H54" s="203">
        <f t="shared" ref="H54:H89" si="16">(G54/$G$90)*100%</f>
        <v>3.8265847920860479E-4</v>
      </c>
      <c r="I54" s="199"/>
    </row>
    <row r="55" spans="1:44" ht="14.25" customHeight="1" x14ac:dyDescent="0.35">
      <c r="D55" s="63" t="s">
        <v>52</v>
      </c>
      <c r="E55" s="64">
        <f>SUM(H22,M22,AA22:AA24)</f>
        <v>0.60813897807616568</v>
      </c>
      <c r="F55">
        <v>0.60813897807616568</v>
      </c>
      <c r="G55" s="199">
        <f>H12</f>
        <v>0</v>
      </c>
      <c r="H55" s="203">
        <f t="shared" si="16"/>
        <v>0</v>
      </c>
      <c r="I55" s="199"/>
    </row>
    <row r="56" spans="1:44" ht="14.25" customHeight="1" x14ac:dyDescent="0.35">
      <c r="D56" s="63" t="s">
        <v>56</v>
      </c>
      <c r="E56" s="64">
        <f>SUM(H26,M26,AA26:AA28)</f>
        <v>1.2756933483569997</v>
      </c>
      <c r="F56">
        <v>1.2756933483569997</v>
      </c>
      <c r="G56" s="199">
        <f>H18</f>
        <v>0</v>
      </c>
      <c r="H56" s="203">
        <f t="shared" si="16"/>
        <v>0</v>
      </c>
      <c r="I56" s="199"/>
    </row>
    <row r="57" spans="1:44" ht="14.25" customHeight="1" x14ac:dyDescent="0.35">
      <c r="D57" s="63" t="s">
        <v>91</v>
      </c>
      <c r="E57" s="64">
        <f>SUM(H30,M30,AA30:AA32)</f>
        <v>3.111972958708495</v>
      </c>
      <c r="F57">
        <v>3.111972958708495</v>
      </c>
      <c r="G57" s="198">
        <f>M4</f>
        <v>2.4922181440145467E-2</v>
      </c>
      <c r="H57" s="203">
        <f t="shared" si="16"/>
        <v>7.0460668122584752E-4</v>
      </c>
      <c r="I57" s="199"/>
    </row>
    <row r="58" spans="1:44" ht="14.25" customHeight="1" x14ac:dyDescent="0.35">
      <c r="D58" s="74" t="s">
        <v>272</v>
      </c>
      <c r="E58" s="303">
        <f>SUM(H39,M39,M40,AA39,AA40,AI40,AI41,AI42,AI43,AI44,AI45,AI46,AI47,AI48,AN39)</f>
        <v>13.068170981234804</v>
      </c>
      <c r="F58">
        <v>13.068170981234804</v>
      </c>
      <c r="G58" s="198">
        <f>M8</f>
        <v>0.17645528116732229</v>
      </c>
      <c r="H58" s="203">
        <f t="shared" si="16"/>
        <v>4.988791625110448E-3</v>
      </c>
      <c r="I58" s="199"/>
    </row>
    <row r="59" spans="1:44" ht="14.25" customHeight="1" x14ac:dyDescent="0.3">
      <c r="E59" s="303">
        <f>SUM(E51:E58)</f>
        <v>48.78951603215998</v>
      </c>
      <c r="F59">
        <v>48.78951603215998</v>
      </c>
      <c r="G59" s="198">
        <f>M12</f>
        <v>4.2938411213407142E-2</v>
      </c>
      <c r="H59" s="203">
        <f t="shared" si="16"/>
        <v>1.2139664216333115E-3</v>
      </c>
      <c r="I59" s="199"/>
    </row>
    <row r="60" spans="1:44" ht="14.25" customHeight="1" x14ac:dyDescent="0.35">
      <c r="G60" s="205">
        <f>M18</f>
        <v>4.4057709947063231</v>
      </c>
      <c r="H60" s="206">
        <f t="shared" si="16"/>
        <v>0.12456115393737394</v>
      </c>
      <c r="I60" s="207" t="s">
        <v>246</v>
      </c>
      <c r="W60" s="66"/>
      <c r="X60" s="67"/>
      <c r="Y60" s="68"/>
      <c r="Z60" s="68"/>
      <c r="AA60" s="68"/>
      <c r="AB60" s="380"/>
      <c r="AC60" s="367"/>
      <c r="AD60" s="367"/>
    </row>
    <row r="61" spans="1:44" ht="14.25" customHeight="1" x14ac:dyDescent="0.3">
      <c r="G61" s="198">
        <f>M22</f>
        <v>7.4363079092727907E-2</v>
      </c>
      <c r="H61" s="203">
        <f t="shared" si="16"/>
        <v>2.1024131651998916E-3</v>
      </c>
      <c r="I61" s="199"/>
    </row>
    <row r="62" spans="1:44" ht="14.25" customHeight="1" x14ac:dyDescent="0.3">
      <c r="G62" s="198">
        <f>M26</f>
        <v>0.17543711445098745</v>
      </c>
      <c r="H62" s="203">
        <f t="shared" si="16"/>
        <v>4.960005739225848E-3</v>
      </c>
      <c r="I62" s="199"/>
    </row>
    <row r="63" spans="1:44" ht="14.25" customHeight="1" x14ac:dyDescent="0.3">
      <c r="G63" s="198">
        <f>M30</f>
        <v>0.453467187396563</v>
      </c>
      <c r="H63" s="203">
        <f t="shared" si="16"/>
        <v>1.2820547459847349E-2</v>
      </c>
      <c r="I63" s="199"/>
    </row>
    <row r="64" spans="1:44" ht="14.25" customHeight="1" x14ac:dyDescent="0.3">
      <c r="G64" s="199">
        <f>R12</f>
        <v>0</v>
      </c>
      <c r="H64" s="203">
        <f t="shared" si="16"/>
        <v>0</v>
      </c>
      <c r="I64" s="199"/>
    </row>
    <row r="65" spans="7:9" ht="14.25" customHeight="1" x14ac:dyDescent="0.3">
      <c r="G65" s="199">
        <f t="shared" ref="G65:G68" si="17">R13</f>
        <v>0</v>
      </c>
      <c r="H65" s="203">
        <f t="shared" si="16"/>
        <v>0</v>
      </c>
      <c r="I65" s="199"/>
    </row>
    <row r="66" spans="7:9" ht="14.25" customHeight="1" x14ac:dyDescent="0.3">
      <c r="G66" s="199">
        <f t="shared" si="17"/>
        <v>0</v>
      </c>
      <c r="H66" s="203">
        <f t="shared" si="16"/>
        <v>0</v>
      </c>
      <c r="I66" s="199"/>
    </row>
    <row r="67" spans="7:9" ht="14.25" customHeight="1" x14ac:dyDescent="0.3">
      <c r="G67" s="199">
        <f t="shared" si="17"/>
        <v>0</v>
      </c>
      <c r="H67" s="203">
        <f t="shared" si="16"/>
        <v>0</v>
      </c>
      <c r="I67" s="199"/>
    </row>
    <row r="68" spans="7:9" ht="14.25" customHeight="1" x14ac:dyDescent="0.3">
      <c r="G68" s="199">
        <f t="shared" si="17"/>
        <v>0</v>
      </c>
      <c r="H68" s="203">
        <f t="shared" si="16"/>
        <v>0</v>
      </c>
      <c r="I68" s="199"/>
    </row>
    <row r="69" spans="7:9" ht="14.25" customHeight="1" x14ac:dyDescent="0.3">
      <c r="G69" s="198">
        <f>AA4</f>
        <v>2.1999949951588243E-4</v>
      </c>
      <c r="H69" s="203">
        <f t="shared" si="16"/>
        <v>6.2198855905740715E-6</v>
      </c>
      <c r="I69" s="199"/>
    </row>
    <row r="70" spans="7:9" ht="14.25" customHeight="1" x14ac:dyDescent="0.3">
      <c r="G70" s="198">
        <f t="shared" ref="G70:G71" si="18">AA5</f>
        <v>4.9233347995195961E-3</v>
      </c>
      <c r="H70" s="203">
        <f t="shared" si="16"/>
        <v>1.3919385837008727E-4</v>
      </c>
      <c r="I70" s="199"/>
    </row>
    <row r="71" spans="7:9" ht="14.25" customHeight="1" x14ac:dyDescent="0.3">
      <c r="G71" s="198">
        <f t="shared" si="18"/>
        <v>0.13453572016013815</v>
      </c>
      <c r="H71" s="203">
        <f t="shared" si="16"/>
        <v>3.8036304131734539E-3</v>
      </c>
      <c r="I71" s="199"/>
    </row>
    <row r="72" spans="7:9" ht="14.25" customHeight="1" x14ac:dyDescent="0.3">
      <c r="G72" s="198">
        <f>AA8</f>
        <v>1.5576515096392234E-3</v>
      </c>
      <c r="H72" s="203">
        <f t="shared" si="16"/>
        <v>4.4038346456517827E-5</v>
      </c>
      <c r="I72" s="199"/>
    </row>
    <row r="73" spans="7:9" ht="14.25" customHeight="1" x14ac:dyDescent="0.3">
      <c r="G73" s="198">
        <f>AA9</f>
        <v>3.4858442404671862E-2</v>
      </c>
      <c r="H73" s="203">
        <f t="shared" si="16"/>
        <v>9.8552734937936608E-4</v>
      </c>
      <c r="I73" s="199"/>
    </row>
    <row r="74" spans="7:9" ht="14.25" customHeight="1" x14ac:dyDescent="0.3">
      <c r="G74" s="198">
        <f>AA10</f>
        <v>0.95254656519212</v>
      </c>
      <c r="H74" s="203">
        <f t="shared" si="16"/>
        <v>2.6930655152520331E-2</v>
      </c>
      <c r="I74" s="199"/>
    </row>
    <row r="75" spans="7:9" ht="14.25" customHeight="1" x14ac:dyDescent="0.3">
      <c r="G75" s="198">
        <f>AA12</f>
        <v>3.790370036284267E-4</v>
      </c>
      <c r="H75" s="203">
        <f t="shared" si="16"/>
        <v>1.0716237093042221E-5</v>
      </c>
      <c r="I75" s="199"/>
    </row>
    <row r="76" spans="7:9" ht="14.25" customHeight="1" x14ac:dyDescent="0.3">
      <c r="G76" s="198">
        <f>AA13</f>
        <v>8.4824105253691606E-3</v>
      </c>
      <c r="H76" s="203">
        <f t="shared" si="16"/>
        <v>2.3981701374856359E-4</v>
      </c>
      <c r="I76" s="199"/>
    </row>
    <row r="77" spans="7:9" ht="14.25" customHeight="1" x14ac:dyDescent="0.3">
      <c r="G77" s="198">
        <f>AA14</f>
        <v>0.23179151026573069</v>
      </c>
      <c r="H77" s="203">
        <f t="shared" si="16"/>
        <v>6.5532725205819774E-3</v>
      </c>
      <c r="I77" s="199"/>
    </row>
    <row r="78" spans="7:9" ht="14.25" customHeight="1" x14ac:dyDescent="0.3">
      <c r="G78" s="198">
        <f>AA18</f>
        <v>3.8891756572145601E-2</v>
      </c>
      <c r="H78" s="203">
        <f t="shared" si="16"/>
        <v>1.0995583027575899E-3</v>
      </c>
      <c r="I78" s="199"/>
    </row>
    <row r="79" spans="7:9" ht="14.25" customHeight="1" x14ac:dyDescent="0.3">
      <c r="G79" s="198">
        <f>AA19</f>
        <v>0.87035260974430573</v>
      </c>
      <c r="H79" s="203">
        <f t="shared" si="16"/>
        <v>2.4606845324556429E-2</v>
      </c>
      <c r="I79" s="199"/>
    </row>
    <row r="80" spans="7:9" ht="14.25" customHeight="1" x14ac:dyDescent="0.3">
      <c r="G80" s="205">
        <f>AA20</f>
        <v>23.783374463307158</v>
      </c>
      <c r="H80" s="206">
        <f t="shared" si="16"/>
        <v>0.67241002113676196</v>
      </c>
      <c r="I80" s="207" t="s">
        <v>245</v>
      </c>
    </row>
    <row r="81" spans="7:9" ht="14.25" customHeight="1" x14ac:dyDescent="0.3">
      <c r="G81" s="198">
        <f>AA22</f>
        <v>6.5643692636420457E-4</v>
      </c>
      <c r="H81" s="203">
        <f t="shared" si="16"/>
        <v>1.855896303581676E-5</v>
      </c>
      <c r="I81" s="199"/>
    </row>
    <row r="82" spans="7:9" ht="14.25" customHeight="1" x14ac:dyDescent="0.3">
      <c r="G82" s="198">
        <f>AA23</f>
        <v>1.4690300525093937E-2</v>
      </c>
      <c r="H82" s="203">
        <f t="shared" si="16"/>
        <v>4.153281655562952E-4</v>
      </c>
      <c r="I82" s="199"/>
    </row>
    <row r="83" spans="7:9" ht="14.25" customHeight="1" x14ac:dyDescent="0.3">
      <c r="G83" s="198">
        <f>AA24</f>
        <v>0.40142916153197966</v>
      </c>
      <c r="H83" s="203">
        <f t="shared" si="16"/>
        <v>1.134931426182057E-2</v>
      </c>
      <c r="I83" s="199"/>
    </row>
    <row r="84" spans="7:9" ht="14.25" customHeight="1" x14ac:dyDescent="0.3">
      <c r="G84" s="198">
        <f>AA26</f>
        <v>1.5486636861392878E-3</v>
      </c>
      <c r="H84" s="203">
        <f t="shared" si="16"/>
        <v>4.3784240269908813E-5</v>
      </c>
      <c r="I84" s="199"/>
    </row>
    <row r="85" spans="7:9" ht="14.25" customHeight="1" x14ac:dyDescent="0.3">
      <c r="G85" s="198">
        <f>AA27</f>
        <v>3.4657305291603206E-2</v>
      </c>
      <c r="H85" s="203">
        <f t="shared" si="16"/>
        <v>9.7984074630045725E-4</v>
      </c>
      <c r="I85" s="199"/>
    </row>
    <row r="86" spans="7:9" ht="14.25" customHeight="1" x14ac:dyDescent="0.3">
      <c r="G86" s="198">
        <f>AA28</f>
        <v>0.94705026492826982</v>
      </c>
      <c r="H86" s="203">
        <f t="shared" si="16"/>
        <v>2.6775262258955487E-2</v>
      </c>
      <c r="I86" s="199"/>
    </row>
    <row r="87" spans="7:9" ht="14.25" customHeight="1" x14ac:dyDescent="0.3">
      <c r="G87" s="198">
        <f>AA30</f>
        <v>4.0029623616100454E-3</v>
      </c>
      <c r="H87" s="203">
        <f t="shared" si="16"/>
        <v>1.1317283888089581E-4</v>
      </c>
      <c r="I87" s="199"/>
    </row>
    <row r="88" spans="7:9" ht="14.25" customHeight="1" x14ac:dyDescent="0.3">
      <c r="G88" s="198">
        <f>AA31</f>
        <v>8.9581676046763481E-2</v>
      </c>
      <c r="H88" s="203">
        <f t="shared" si="16"/>
        <v>2.5326774708526716E-3</v>
      </c>
      <c r="I88" s="199"/>
    </row>
    <row r="89" spans="7:9" ht="14.25" customHeight="1" x14ac:dyDescent="0.3">
      <c r="G89" s="205">
        <f>AA32</f>
        <v>2.4479211329035584</v>
      </c>
      <c r="H89" s="206">
        <f t="shared" si="16"/>
        <v>6.920829099572294E-2</v>
      </c>
      <c r="I89" s="207" t="s">
        <v>247</v>
      </c>
    </row>
    <row r="90" spans="7:9" ht="14.25" customHeight="1" x14ac:dyDescent="0.3">
      <c r="G90" s="208">
        <f>SUM(G53:G89)</f>
        <v>35.370345050925174</v>
      </c>
      <c r="H90" s="204">
        <f>SUM(H53:H89)</f>
        <v>1.0000000000000002</v>
      </c>
      <c r="I90" s="186"/>
    </row>
    <row r="91" spans="7:9" ht="14.25" customHeight="1" x14ac:dyDescent="0.3"/>
    <row r="92" spans="7:9" ht="14.25" customHeight="1" x14ac:dyDescent="0.3"/>
    <row r="93" spans="7:9" ht="14.25" customHeight="1" x14ac:dyDescent="0.3"/>
    <row r="94" spans="7:9" ht="14.25" customHeight="1" x14ac:dyDescent="0.3"/>
    <row r="95" spans="7:9" ht="14.25" customHeight="1" x14ac:dyDescent="0.3"/>
    <row r="96" spans="7:9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</sheetData>
  <mergeCells count="63">
    <mergeCell ref="AM2:AM3"/>
    <mergeCell ref="AN2:AN3"/>
    <mergeCell ref="A39:A49"/>
    <mergeCell ref="B39:B49"/>
    <mergeCell ref="U2:U3"/>
    <mergeCell ref="V2:V3"/>
    <mergeCell ref="E2:E3"/>
    <mergeCell ref="F2:F3"/>
    <mergeCell ref="A4:A7"/>
    <mergeCell ref="B4:B7"/>
    <mergeCell ref="A30:A38"/>
    <mergeCell ref="B30:B38"/>
    <mergeCell ref="A12:A17"/>
    <mergeCell ref="A18:A21"/>
    <mergeCell ref="A26:A29"/>
    <mergeCell ref="B26:B29"/>
    <mergeCell ref="AQ2:AQ3"/>
    <mergeCell ref="A1:A3"/>
    <mergeCell ref="B1:B3"/>
    <mergeCell ref="C1:C3"/>
    <mergeCell ref="W1:AQ1"/>
    <mergeCell ref="K2:K3"/>
    <mergeCell ref="L2:L3"/>
    <mergeCell ref="M2:M3"/>
    <mergeCell ref="N2:N3"/>
    <mergeCell ref="O2:O3"/>
    <mergeCell ref="P2:P3"/>
    <mergeCell ref="Q2:Q3"/>
    <mergeCell ref="AF2:AF3"/>
    <mergeCell ref="AG2:AG3"/>
    <mergeCell ref="AH2:AH3"/>
    <mergeCell ref="AI2:AI3"/>
    <mergeCell ref="AR1:AR3"/>
    <mergeCell ref="D2:D3"/>
    <mergeCell ref="X2:X3"/>
    <mergeCell ref="Y2:Y3"/>
    <mergeCell ref="Z2:Z3"/>
    <mergeCell ref="AA2:AA3"/>
    <mergeCell ref="AB2:AB3"/>
    <mergeCell ref="AC2:AC3"/>
    <mergeCell ref="AJ2:AJ3"/>
    <mergeCell ref="AK2:AK3"/>
    <mergeCell ref="AL2:AL3"/>
    <mergeCell ref="AO2:AO3"/>
    <mergeCell ref="G2:G3"/>
    <mergeCell ref="H2:H3"/>
    <mergeCell ref="D1:V1"/>
    <mergeCell ref="AP2:AP3"/>
    <mergeCell ref="AB60:AD60"/>
    <mergeCell ref="AD2:AD3"/>
    <mergeCell ref="AE2:AE3"/>
    <mergeCell ref="I2:I3"/>
    <mergeCell ref="J2:J3"/>
    <mergeCell ref="S2:T2"/>
    <mergeCell ref="W2:W3"/>
    <mergeCell ref="G51:I51"/>
    <mergeCell ref="R2:R3"/>
    <mergeCell ref="A8:A11"/>
    <mergeCell ref="B8:B11"/>
    <mergeCell ref="B12:B17"/>
    <mergeCell ref="B18:B21"/>
    <mergeCell ref="A22:A25"/>
    <mergeCell ref="B22:B25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00"/>
  </sheetPr>
  <dimension ref="A1:AX1015"/>
  <sheetViews>
    <sheetView topLeftCell="B28" zoomScale="63" zoomScaleNormal="85" workbookViewId="0">
      <selection activeCell="E61" sqref="E61"/>
    </sheetView>
  </sheetViews>
  <sheetFormatPr defaultColWidth="12.58203125" defaultRowHeight="15" customHeight="1" x14ac:dyDescent="0.3"/>
  <cols>
    <col min="1" max="1" width="4.5" customWidth="1"/>
    <col min="2" max="2" width="25.25" customWidth="1"/>
    <col min="3" max="3" width="20.83203125" hidden="1" customWidth="1"/>
    <col min="4" max="4" width="23.25" customWidth="1"/>
    <col min="5" max="5" width="12.08203125" customWidth="1"/>
    <col min="6" max="6" width="9.83203125" customWidth="1"/>
    <col min="7" max="7" width="12.33203125" customWidth="1"/>
    <col min="8" max="8" width="13.33203125" customWidth="1"/>
    <col min="9" max="9" width="13.25" customWidth="1"/>
    <col min="10" max="10" width="12.08203125" customWidth="1"/>
    <col min="11" max="11" width="7.58203125" customWidth="1"/>
    <col min="12" max="12" width="9.83203125" customWidth="1"/>
    <col min="13" max="13" width="14.58203125" customWidth="1"/>
    <col min="14" max="14" width="16.83203125" customWidth="1"/>
    <col min="15" max="15" width="11.58203125" customWidth="1"/>
    <col min="16" max="16" width="10.08203125" customWidth="1"/>
    <col min="17" max="17" width="9.25" customWidth="1"/>
    <col min="18" max="18" width="14.25" customWidth="1"/>
    <col min="19" max="19" width="9" bestFit="1" customWidth="1"/>
    <col min="20" max="20" width="7.58203125" customWidth="1"/>
    <col min="21" max="22" width="7.58203125" style="264" customWidth="1"/>
    <col min="23" max="23" width="11.58203125" customWidth="1"/>
    <col min="24" max="24" width="13.58203125" customWidth="1"/>
    <col min="25" max="25" width="11.08203125" customWidth="1"/>
    <col min="26" max="26" width="11.58203125" customWidth="1"/>
    <col min="27" max="27" width="13.83203125" customWidth="1"/>
    <col min="28" max="28" width="22.58203125" customWidth="1"/>
    <col min="29" max="29" width="14.08203125" customWidth="1"/>
    <col min="30" max="30" width="7.58203125" customWidth="1"/>
    <col min="31" max="31" width="10" customWidth="1"/>
    <col min="32" max="32" width="8.4140625" bestFit="1" customWidth="1"/>
    <col min="33" max="33" width="7.58203125" customWidth="1"/>
    <col min="34" max="34" width="9" style="264" bestFit="1" customWidth="1"/>
    <col min="35" max="35" width="12.9140625" style="264" customWidth="1"/>
    <col min="36" max="36" width="10.83203125" customWidth="1"/>
    <col min="37" max="37" width="9" bestFit="1" customWidth="1"/>
    <col min="38" max="38" width="7.58203125" customWidth="1"/>
    <col min="39" max="39" width="8.4140625" style="264" bestFit="1" customWidth="1"/>
    <col min="40" max="40" width="12.9140625" style="264" customWidth="1"/>
    <col min="41" max="41" width="14.33203125" customWidth="1"/>
    <col min="42" max="43" width="7.58203125" customWidth="1"/>
    <col min="44" max="44" width="22" customWidth="1"/>
  </cols>
  <sheetData>
    <row r="1" spans="1:44" ht="14.25" customHeight="1" x14ac:dyDescent="0.3">
      <c r="A1" s="352" t="s">
        <v>0</v>
      </c>
      <c r="B1" s="352" t="s">
        <v>1</v>
      </c>
      <c r="C1" s="355" t="s">
        <v>2</v>
      </c>
      <c r="D1" s="382" t="s">
        <v>3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4"/>
      <c r="W1" s="377" t="s">
        <v>4</v>
      </c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2"/>
      <c r="AR1" s="374" t="s">
        <v>5</v>
      </c>
    </row>
    <row r="2" spans="1:44" ht="40.5" customHeight="1" x14ac:dyDescent="0.3">
      <c r="A2" s="353"/>
      <c r="B2" s="353"/>
      <c r="C2" s="353"/>
      <c r="D2" s="375" t="s">
        <v>6</v>
      </c>
      <c r="E2" s="375" t="s">
        <v>7</v>
      </c>
      <c r="F2" s="375" t="s">
        <v>8</v>
      </c>
      <c r="G2" s="375" t="s">
        <v>85</v>
      </c>
      <c r="H2" s="375" t="s">
        <v>86</v>
      </c>
      <c r="I2" s="375" t="s">
        <v>9</v>
      </c>
      <c r="J2" s="375" t="s">
        <v>7</v>
      </c>
      <c r="K2" s="375" t="s">
        <v>8</v>
      </c>
      <c r="L2" s="375" t="s">
        <v>85</v>
      </c>
      <c r="M2" s="375" t="s">
        <v>86</v>
      </c>
      <c r="N2" s="375" t="s">
        <v>10</v>
      </c>
      <c r="O2" s="375" t="s">
        <v>7</v>
      </c>
      <c r="P2" s="375" t="s">
        <v>8</v>
      </c>
      <c r="Q2" s="375" t="s">
        <v>85</v>
      </c>
      <c r="R2" s="375" t="s">
        <v>86</v>
      </c>
      <c r="S2" s="373" t="s">
        <v>11</v>
      </c>
      <c r="T2" s="372"/>
      <c r="U2" s="375" t="s">
        <v>85</v>
      </c>
      <c r="V2" s="375" t="s">
        <v>86</v>
      </c>
      <c r="W2" s="362" t="s">
        <v>12</v>
      </c>
      <c r="X2" s="362" t="s">
        <v>7</v>
      </c>
      <c r="Y2" s="362" t="s">
        <v>8</v>
      </c>
      <c r="Z2" s="362" t="s">
        <v>85</v>
      </c>
      <c r="AA2" s="362" t="s">
        <v>86</v>
      </c>
      <c r="AB2" s="362" t="s">
        <v>13</v>
      </c>
      <c r="AC2" s="362" t="s">
        <v>7</v>
      </c>
      <c r="AD2" s="362" t="s">
        <v>8</v>
      </c>
      <c r="AE2" s="362" t="s">
        <v>14</v>
      </c>
      <c r="AF2" s="362" t="s">
        <v>7</v>
      </c>
      <c r="AG2" s="362" t="s">
        <v>8</v>
      </c>
      <c r="AH2" s="362" t="s">
        <v>85</v>
      </c>
      <c r="AI2" s="362" t="s">
        <v>86</v>
      </c>
      <c r="AJ2" s="362" t="s">
        <v>15</v>
      </c>
      <c r="AK2" s="362" t="s">
        <v>7</v>
      </c>
      <c r="AL2" s="362" t="s">
        <v>8</v>
      </c>
      <c r="AM2" s="362" t="s">
        <v>85</v>
      </c>
      <c r="AN2" s="362" t="s">
        <v>86</v>
      </c>
      <c r="AO2" s="362" t="s">
        <v>16</v>
      </c>
      <c r="AP2" s="362" t="s">
        <v>7</v>
      </c>
      <c r="AQ2" s="362" t="s">
        <v>8</v>
      </c>
      <c r="AR2" s="353"/>
    </row>
    <row r="3" spans="1:44" ht="14.25" customHeight="1" x14ac:dyDescent="0.3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1" t="s">
        <v>17</v>
      </c>
      <c r="T3" s="1" t="s">
        <v>8</v>
      </c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</row>
    <row r="4" spans="1:44" ht="14.25" customHeight="1" x14ac:dyDescent="0.3">
      <c r="A4" s="378">
        <v>1</v>
      </c>
      <c r="B4" s="358" t="s">
        <v>18</v>
      </c>
      <c r="C4" s="2" t="s">
        <v>19</v>
      </c>
      <c r="D4" s="3" t="s">
        <v>20</v>
      </c>
      <c r="E4" s="42">
        <f>'Unit Fungsi'!E4</f>
        <v>9.0327994274291078E-5</v>
      </c>
      <c r="F4" s="61" t="s">
        <v>199</v>
      </c>
      <c r="G4" s="51">
        <f>CF!F3</f>
        <v>9.0400000000000002E-9</v>
      </c>
      <c r="H4" s="70">
        <f>E4*G4</f>
        <v>8.165650682395914E-13</v>
      </c>
      <c r="I4" s="5" t="s">
        <v>22</v>
      </c>
      <c r="J4" s="43">
        <f>'Unit Fungsi'!H4</f>
        <v>5.2029606346859013E-2</v>
      </c>
      <c r="K4" s="18" t="s">
        <v>203</v>
      </c>
      <c r="L4" s="44">
        <f>CF!F7</f>
        <v>6.4499999999999997E-7</v>
      </c>
      <c r="M4" s="52">
        <f>J4*L4</f>
        <v>3.3559096093724064E-8</v>
      </c>
      <c r="N4" s="7"/>
      <c r="O4" s="7"/>
      <c r="P4" s="7"/>
      <c r="Q4" s="7"/>
      <c r="R4" s="7"/>
      <c r="S4" s="7"/>
      <c r="T4" s="7"/>
      <c r="U4" s="24"/>
      <c r="V4" s="24"/>
      <c r="W4" s="8" t="s">
        <v>24</v>
      </c>
      <c r="X4" s="44">
        <f>'Unit Fungsi'!P4</f>
        <v>2.6537937215426107E-4</v>
      </c>
      <c r="Y4" s="20" t="s">
        <v>205</v>
      </c>
      <c r="Z4" s="53">
        <f>CF!F21</f>
        <v>1.55E-8</v>
      </c>
      <c r="AA4" s="54">
        <f t="shared" ref="AA4:AA6" si="0">X4*Z4</f>
        <v>4.1133802683910464E-12</v>
      </c>
      <c r="AB4" s="10" t="s">
        <v>26</v>
      </c>
      <c r="AC4" s="42">
        <f>'Unit Fungsi'!S4</f>
        <v>6.4818322919460664E-5</v>
      </c>
      <c r="AD4" s="11" t="s">
        <v>27</v>
      </c>
      <c r="AE4" s="12"/>
      <c r="AF4" s="12"/>
      <c r="AG4" s="12"/>
      <c r="AH4" s="12"/>
      <c r="AI4" s="12"/>
      <c r="AJ4" s="13"/>
      <c r="AK4" s="13"/>
      <c r="AL4" s="13"/>
      <c r="AM4" s="12"/>
      <c r="AN4" s="12"/>
      <c r="AO4" s="13"/>
      <c r="AP4" s="13"/>
      <c r="AQ4" s="13"/>
      <c r="AR4" s="14"/>
    </row>
    <row r="5" spans="1:44" ht="14.25" customHeight="1" x14ac:dyDescent="0.3">
      <c r="A5" s="353"/>
      <c r="B5" s="353"/>
      <c r="C5" s="15" t="s">
        <v>28</v>
      </c>
      <c r="D5" s="7"/>
      <c r="E5" s="45"/>
      <c r="F5" s="25"/>
      <c r="G5" s="16"/>
      <c r="H5" s="16"/>
      <c r="I5" s="7"/>
      <c r="J5" s="45"/>
      <c r="K5" s="25"/>
      <c r="L5" s="16"/>
      <c r="M5" s="16"/>
      <c r="N5" s="7"/>
      <c r="O5" s="7"/>
      <c r="P5" s="7"/>
      <c r="Q5" s="7"/>
      <c r="R5" s="7"/>
      <c r="S5" s="7"/>
      <c r="T5" s="7"/>
      <c r="U5" s="24"/>
      <c r="V5" s="24"/>
      <c r="W5" s="17" t="s">
        <v>29</v>
      </c>
      <c r="X5" s="44">
        <f>'Unit Fungsi'!P5</f>
        <v>4.0355203274750791E-3</v>
      </c>
      <c r="Y5" s="18" t="s">
        <v>206</v>
      </c>
      <c r="Z5" s="55">
        <f>CF!F22</f>
        <v>5.1399999999999997E-8</v>
      </c>
      <c r="AA5" s="56">
        <f t="shared" si="0"/>
        <v>2.0742574483221905E-10</v>
      </c>
      <c r="AB5" s="7"/>
      <c r="AC5" s="16"/>
      <c r="AD5" s="7"/>
      <c r="AE5" s="7"/>
      <c r="AF5" s="7"/>
      <c r="AG5" s="7"/>
      <c r="AH5" s="24"/>
      <c r="AI5" s="24"/>
      <c r="AJ5" s="13"/>
      <c r="AK5" s="13"/>
      <c r="AL5" s="13"/>
      <c r="AM5" s="24"/>
      <c r="AN5" s="24"/>
      <c r="AO5" s="13"/>
      <c r="AP5" s="13"/>
      <c r="AQ5" s="13"/>
      <c r="AR5" s="14"/>
    </row>
    <row r="6" spans="1:44" ht="14.25" customHeight="1" x14ac:dyDescent="0.3">
      <c r="A6" s="353"/>
      <c r="B6" s="353"/>
      <c r="C6" s="15"/>
      <c r="D6" s="7"/>
      <c r="E6" s="45"/>
      <c r="F6" s="25"/>
      <c r="G6" s="16"/>
      <c r="H6" s="16"/>
      <c r="I6" s="7"/>
      <c r="J6" s="45"/>
      <c r="K6" s="25"/>
      <c r="L6" s="16"/>
      <c r="M6" s="16"/>
      <c r="N6" s="7"/>
      <c r="O6" s="7"/>
      <c r="P6" s="7"/>
      <c r="Q6" s="7"/>
      <c r="R6" s="7"/>
      <c r="S6" s="7"/>
      <c r="T6" s="7"/>
      <c r="U6" s="24"/>
      <c r="V6" s="24"/>
      <c r="W6" s="17" t="s">
        <v>31</v>
      </c>
      <c r="X6" s="44">
        <f>'Unit Fungsi'!P6</f>
        <v>0.15772065669418306</v>
      </c>
      <c r="Y6" s="18" t="s">
        <v>207</v>
      </c>
      <c r="Z6" s="55">
        <f>CF!F23</f>
        <v>2.2700000000000001E-8</v>
      </c>
      <c r="AA6" s="56">
        <f t="shared" si="0"/>
        <v>3.5802589069579557E-9</v>
      </c>
      <c r="AB6" s="7"/>
      <c r="AC6" s="16"/>
      <c r="AD6" s="7"/>
      <c r="AE6" s="7"/>
      <c r="AF6" s="7"/>
      <c r="AG6" s="7"/>
      <c r="AH6" s="24"/>
      <c r="AI6" s="24"/>
      <c r="AJ6" s="13"/>
      <c r="AK6" s="13"/>
      <c r="AL6" s="13"/>
      <c r="AM6" s="24"/>
      <c r="AN6" s="24"/>
      <c r="AO6" s="13"/>
      <c r="AP6" s="13"/>
      <c r="AQ6" s="13"/>
      <c r="AR6" s="14"/>
    </row>
    <row r="7" spans="1:44" ht="14.25" customHeight="1" x14ac:dyDescent="0.3">
      <c r="A7" s="354"/>
      <c r="B7" s="354"/>
      <c r="C7" s="15"/>
      <c r="D7" s="7"/>
      <c r="E7" s="45"/>
      <c r="F7" s="25"/>
      <c r="G7" s="16"/>
      <c r="H7" s="16"/>
      <c r="I7" s="7"/>
      <c r="J7" s="45"/>
      <c r="K7" s="25"/>
      <c r="L7" s="16"/>
      <c r="M7" s="16"/>
      <c r="N7" s="7"/>
      <c r="O7" s="7"/>
      <c r="P7" s="7"/>
      <c r="Q7" s="7"/>
      <c r="R7" s="7"/>
      <c r="S7" s="7"/>
      <c r="T7" s="7"/>
      <c r="U7" s="24"/>
      <c r="V7" s="24"/>
      <c r="W7" s="7"/>
      <c r="X7" s="46"/>
      <c r="Y7" s="25"/>
      <c r="Z7" s="16"/>
      <c r="AA7" s="16"/>
      <c r="AB7" s="7"/>
      <c r="AC7" s="16"/>
      <c r="AD7" s="7"/>
      <c r="AE7" s="7"/>
      <c r="AF7" s="7"/>
      <c r="AG7" s="7"/>
      <c r="AH7" s="24"/>
      <c r="AI7" s="24"/>
      <c r="AJ7" s="13"/>
      <c r="AK7" s="13"/>
      <c r="AL7" s="13"/>
      <c r="AM7" s="24"/>
      <c r="AN7" s="24"/>
      <c r="AO7" s="13"/>
      <c r="AP7" s="13"/>
      <c r="AQ7" s="13"/>
      <c r="AR7" s="14"/>
    </row>
    <row r="8" spans="1:44" ht="14.25" customHeight="1" x14ac:dyDescent="0.3">
      <c r="A8" s="356">
        <v>2</v>
      </c>
      <c r="B8" s="379" t="s">
        <v>33</v>
      </c>
      <c r="C8" s="2" t="s">
        <v>19</v>
      </c>
      <c r="D8" s="5" t="s">
        <v>34</v>
      </c>
      <c r="E8" s="43">
        <f>'Unit Fungsi'!E8</f>
        <v>0.26383552526843329</v>
      </c>
      <c r="F8" s="18" t="s">
        <v>200</v>
      </c>
      <c r="G8" s="55">
        <f>CF!F4</f>
        <v>9.0400000000000002E-9</v>
      </c>
      <c r="H8" s="73">
        <f>E8*G8</f>
        <v>2.3850731484266368E-9</v>
      </c>
      <c r="I8" s="5" t="s">
        <v>22</v>
      </c>
      <c r="J8" s="43">
        <f>'Unit Fungsi'!H8</f>
        <v>0.36838263291716555</v>
      </c>
      <c r="K8" s="18" t="s">
        <v>203</v>
      </c>
      <c r="L8" s="44">
        <f>L4</f>
        <v>6.4499999999999997E-7</v>
      </c>
      <c r="M8" s="52">
        <f>J8*L8</f>
        <v>2.3760679823157177E-7</v>
      </c>
      <c r="N8" s="7"/>
      <c r="O8" s="7"/>
      <c r="P8" s="7"/>
      <c r="Q8" s="7"/>
      <c r="R8" s="7"/>
      <c r="S8" s="7"/>
      <c r="T8" s="7"/>
      <c r="U8" s="24"/>
      <c r="V8" s="24"/>
      <c r="W8" s="8" t="s">
        <v>24</v>
      </c>
      <c r="X8" s="44">
        <f>'Unit Fungsi'!P8</f>
        <v>1.8789523638591357E-3</v>
      </c>
      <c r="Y8" s="20" t="s">
        <v>205</v>
      </c>
      <c r="Z8" s="53">
        <f t="shared" ref="Z8:Z10" si="1">Z4</f>
        <v>1.55E-8</v>
      </c>
      <c r="AA8" s="54">
        <f t="shared" ref="AA8:AA10" si="2">X8*Z8</f>
        <v>2.9123761639816603E-11</v>
      </c>
      <c r="AB8" s="19" t="s">
        <v>34</v>
      </c>
      <c r="AC8" s="43">
        <f>'Unit Fungsi'!S8</f>
        <v>0.26383552526843329</v>
      </c>
      <c r="AD8" s="20" t="s">
        <v>35</v>
      </c>
      <c r="AE8" s="7"/>
      <c r="AF8" s="7"/>
      <c r="AG8" s="7"/>
      <c r="AH8" s="24"/>
      <c r="AI8" s="24"/>
      <c r="AJ8" s="13"/>
      <c r="AK8" s="13"/>
      <c r="AL8" s="13"/>
      <c r="AM8" s="24"/>
      <c r="AN8" s="24"/>
      <c r="AO8" s="13"/>
      <c r="AP8" s="13"/>
      <c r="AQ8" s="13"/>
      <c r="AR8" s="14"/>
    </row>
    <row r="9" spans="1:44" ht="14.25" customHeight="1" x14ac:dyDescent="0.3">
      <c r="A9" s="353"/>
      <c r="B9" s="353"/>
      <c r="C9" s="2" t="s">
        <v>36</v>
      </c>
      <c r="D9" s="7"/>
      <c r="E9" s="45"/>
      <c r="F9" s="25"/>
      <c r="G9" s="16"/>
      <c r="H9" s="16"/>
      <c r="I9" s="7"/>
      <c r="J9" s="45"/>
      <c r="K9" s="25"/>
      <c r="L9" s="16"/>
      <c r="M9" s="16"/>
      <c r="N9" s="7"/>
      <c r="O9" s="7"/>
      <c r="P9" s="7"/>
      <c r="Q9" s="7"/>
      <c r="R9" s="7"/>
      <c r="S9" s="7"/>
      <c r="T9" s="7"/>
      <c r="U9" s="24"/>
      <c r="V9" s="24"/>
      <c r="W9" s="17" t="s">
        <v>29</v>
      </c>
      <c r="X9" s="44">
        <f>'Unit Fungsi'!P9</f>
        <v>2.8572493774321198E-2</v>
      </c>
      <c r="Y9" s="18" t="s">
        <v>206</v>
      </c>
      <c r="Z9" s="55">
        <f t="shared" si="1"/>
        <v>5.1399999999999997E-8</v>
      </c>
      <c r="AA9" s="56">
        <f t="shared" si="2"/>
        <v>1.4686261800001095E-9</v>
      </c>
      <c r="AB9" s="21"/>
      <c r="AC9" s="16"/>
      <c r="AD9" s="21"/>
      <c r="AE9" s="7"/>
      <c r="AF9" s="7"/>
      <c r="AG9" s="7"/>
      <c r="AH9" s="24"/>
      <c r="AI9" s="24"/>
      <c r="AJ9" s="13"/>
      <c r="AK9" s="13"/>
      <c r="AL9" s="13"/>
      <c r="AM9" s="24"/>
      <c r="AN9" s="24"/>
      <c r="AO9" s="13"/>
      <c r="AP9" s="13"/>
      <c r="AQ9" s="13"/>
      <c r="AR9" s="14"/>
    </row>
    <row r="10" spans="1:44" ht="14.25" customHeight="1" x14ac:dyDescent="0.3">
      <c r="A10" s="353"/>
      <c r="B10" s="353"/>
      <c r="C10" s="2"/>
      <c r="D10" s="7"/>
      <c r="E10" s="45"/>
      <c r="F10" s="25"/>
      <c r="G10" s="16"/>
      <c r="H10" s="16"/>
      <c r="I10" s="7"/>
      <c r="J10" s="45"/>
      <c r="K10" s="25"/>
      <c r="L10" s="16"/>
      <c r="M10" s="16"/>
      <c r="N10" s="7"/>
      <c r="O10" s="7"/>
      <c r="P10" s="7"/>
      <c r="Q10" s="7"/>
      <c r="R10" s="7"/>
      <c r="S10" s="7"/>
      <c r="T10" s="7"/>
      <c r="U10" s="24"/>
      <c r="V10" s="24"/>
      <c r="W10" s="17" t="s">
        <v>31</v>
      </c>
      <c r="X10" s="44">
        <f>'Unit Fungsi'!P10</f>
        <v>1.1167017176929894</v>
      </c>
      <c r="Y10" s="18" t="s">
        <v>207</v>
      </c>
      <c r="Z10" s="55">
        <f t="shared" si="1"/>
        <v>2.2700000000000001E-8</v>
      </c>
      <c r="AA10" s="56">
        <f t="shared" si="2"/>
        <v>2.534912899163086E-8</v>
      </c>
      <c r="AB10" s="21"/>
      <c r="AC10" s="16"/>
      <c r="AD10" s="21"/>
      <c r="AE10" s="7"/>
      <c r="AF10" s="7"/>
      <c r="AG10" s="7"/>
      <c r="AH10" s="24"/>
      <c r="AI10" s="24"/>
      <c r="AJ10" s="13"/>
      <c r="AK10" s="13"/>
      <c r="AL10" s="13"/>
      <c r="AM10" s="24"/>
      <c r="AN10" s="24"/>
      <c r="AO10" s="13"/>
      <c r="AP10" s="13"/>
      <c r="AQ10" s="13"/>
      <c r="AR10" s="14"/>
    </row>
    <row r="11" spans="1:44" ht="14.25" customHeight="1" x14ac:dyDescent="0.3">
      <c r="A11" s="354"/>
      <c r="B11" s="354"/>
      <c r="C11" s="2"/>
      <c r="D11" s="7"/>
      <c r="E11" s="45"/>
      <c r="F11" s="25"/>
      <c r="G11" s="16"/>
      <c r="H11" s="16"/>
      <c r="I11" s="7"/>
      <c r="J11" s="45"/>
      <c r="K11" s="25"/>
      <c r="L11" s="16"/>
      <c r="M11" s="16"/>
      <c r="N11" s="7"/>
      <c r="O11" s="7"/>
      <c r="P11" s="7"/>
      <c r="Q11" s="7"/>
      <c r="R11" s="7"/>
      <c r="S11" s="7"/>
      <c r="T11" s="7"/>
      <c r="U11" s="24"/>
      <c r="V11" s="24"/>
      <c r="W11" s="21"/>
      <c r="X11" s="46"/>
      <c r="Y11" s="22"/>
      <c r="Z11" s="22"/>
      <c r="AA11" s="22"/>
      <c r="AB11" s="21"/>
      <c r="AC11" s="16"/>
      <c r="AD11" s="21"/>
      <c r="AE11" s="7"/>
      <c r="AF11" s="7"/>
      <c r="AG11" s="7"/>
      <c r="AH11" s="24"/>
      <c r="AI11" s="24"/>
      <c r="AJ11" s="13"/>
      <c r="AK11" s="13"/>
      <c r="AL11" s="13"/>
      <c r="AM11" s="24"/>
      <c r="AN11" s="24"/>
      <c r="AO11" s="13"/>
      <c r="AP11" s="13"/>
      <c r="AQ11" s="13"/>
      <c r="AR11" s="14"/>
    </row>
    <row r="12" spans="1:44" ht="14.25" customHeight="1" x14ac:dyDescent="0.3">
      <c r="A12" s="356">
        <v>3</v>
      </c>
      <c r="B12" s="379" t="s">
        <v>37</v>
      </c>
      <c r="C12" s="10" t="s">
        <v>38</v>
      </c>
      <c r="D12" s="5" t="s">
        <v>39</v>
      </c>
      <c r="E12" s="47">
        <f>'Unit Fungsi'!E12</f>
        <v>24.839966543981944</v>
      </c>
      <c r="F12" s="58" t="s">
        <v>201</v>
      </c>
      <c r="G12" s="58">
        <v>0</v>
      </c>
      <c r="H12" s="59">
        <f>E12*G12</f>
        <v>0</v>
      </c>
      <c r="I12" s="5" t="s">
        <v>22</v>
      </c>
      <c r="J12" s="43">
        <f>'Unit Fungsi'!H12</f>
        <v>8.9641777063480463E-2</v>
      </c>
      <c r="K12" s="18" t="s">
        <v>203</v>
      </c>
      <c r="L12" s="44">
        <f>L4</f>
        <v>6.4499999999999997E-7</v>
      </c>
      <c r="M12" s="52">
        <f>J12*L12</f>
        <v>5.7818946205944897E-8</v>
      </c>
      <c r="N12" s="10" t="s">
        <v>41</v>
      </c>
      <c r="O12" s="48">
        <f>'Unit Fungsi'!K12</f>
        <v>2.5838915890496632E-2</v>
      </c>
      <c r="P12" s="18" t="s">
        <v>203</v>
      </c>
      <c r="Q12" s="18">
        <v>0</v>
      </c>
      <c r="R12" s="60">
        <f t="shared" ref="R12:R16" si="3">O12*Q12</f>
        <v>0</v>
      </c>
      <c r="S12" s="7"/>
      <c r="T12" s="7"/>
      <c r="U12" s="24"/>
      <c r="V12" s="24"/>
      <c r="W12" s="8" t="s">
        <v>24</v>
      </c>
      <c r="X12" s="44">
        <f>'Unit Fungsi'!P12</f>
        <v>4.572219585385123E-4</v>
      </c>
      <c r="Y12" s="20" t="s">
        <v>205</v>
      </c>
      <c r="Z12" s="53">
        <f t="shared" ref="Z12:Z14" si="4">Z4</f>
        <v>1.55E-8</v>
      </c>
      <c r="AA12" s="54">
        <f t="shared" ref="AA12:AA14" si="5">X12*Z12</f>
        <v>7.0869403573469401E-12</v>
      </c>
      <c r="AB12" s="19" t="s">
        <v>43</v>
      </c>
      <c r="AC12" s="49">
        <f>'Unit Fungsi'!S12</f>
        <v>22.057890291055969</v>
      </c>
      <c r="AD12" s="20" t="s">
        <v>40</v>
      </c>
      <c r="AE12" s="7"/>
      <c r="AF12" s="7"/>
      <c r="AG12" s="7"/>
      <c r="AH12" s="24"/>
      <c r="AI12" s="24"/>
      <c r="AJ12" s="13"/>
      <c r="AK12" s="13"/>
      <c r="AL12" s="13"/>
      <c r="AM12" s="24"/>
      <c r="AN12" s="24"/>
      <c r="AO12" s="13"/>
      <c r="AP12" s="13"/>
      <c r="AQ12" s="13"/>
      <c r="AR12" s="14"/>
    </row>
    <row r="13" spans="1:44" ht="14.25" customHeight="1" x14ac:dyDescent="0.3">
      <c r="A13" s="353"/>
      <c r="B13" s="353"/>
      <c r="C13" s="10"/>
      <c r="D13" s="7"/>
      <c r="E13" s="45"/>
      <c r="F13" s="25"/>
      <c r="G13" s="16"/>
      <c r="H13" s="16"/>
      <c r="I13" s="7"/>
      <c r="J13" s="45"/>
      <c r="K13" s="25"/>
      <c r="L13" s="16"/>
      <c r="M13" s="16"/>
      <c r="N13" s="10" t="s">
        <v>44</v>
      </c>
      <c r="O13" s="48">
        <f>'Unit Fungsi'!K13</f>
        <v>3.4478466078456207E-3</v>
      </c>
      <c r="P13" s="18" t="s">
        <v>203</v>
      </c>
      <c r="Q13" s="18">
        <v>0</v>
      </c>
      <c r="R13" s="60">
        <f t="shared" si="3"/>
        <v>0</v>
      </c>
      <c r="S13" s="7"/>
      <c r="T13" s="7"/>
      <c r="U13" s="24"/>
      <c r="V13" s="24"/>
      <c r="W13" s="17" t="s">
        <v>29</v>
      </c>
      <c r="X13" s="44">
        <f>'Unit Fungsi'!P13</f>
        <v>6.9527955125976721E-3</v>
      </c>
      <c r="Y13" s="18" t="s">
        <v>206</v>
      </c>
      <c r="Z13" s="55">
        <f t="shared" si="4"/>
        <v>5.1399999999999997E-8</v>
      </c>
      <c r="AA13" s="56">
        <f t="shared" si="5"/>
        <v>3.5737368934752032E-10</v>
      </c>
      <c r="AB13" s="7"/>
      <c r="AC13" s="16"/>
      <c r="AD13" s="7"/>
      <c r="AE13" s="7"/>
      <c r="AF13" s="7"/>
      <c r="AG13" s="7"/>
      <c r="AH13" s="24"/>
      <c r="AI13" s="24"/>
      <c r="AJ13" s="13"/>
      <c r="AK13" s="13"/>
      <c r="AL13" s="13"/>
      <c r="AM13" s="24"/>
      <c r="AN13" s="24"/>
      <c r="AO13" s="13"/>
      <c r="AP13" s="13"/>
      <c r="AQ13" s="13"/>
      <c r="AR13" s="14"/>
    </row>
    <row r="14" spans="1:44" ht="14.25" customHeight="1" x14ac:dyDescent="0.3">
      <c r="A14" s="353"/>
      <c r="B14" s="353"/>
      <c r="C14" s="10"/>
      <c r="D14" s="7"/>
      <c r="E14" s="45"/>
      <c r="F14" s="25"/>
      <c r="G14" s="16"/>
      <c r="H14" s="16"/>
      <c r="I14" s="7"/>
      <c r="J14" s="45"/>
      <c r="K14" s="25"/>
      <c r="L14" s="16"/>
      <c r="M14" s="16"/>
      <c r="N14" s="10" t="s">
        <v>45</v>
      </c>
      <c r="O14" s="48">
        <f>'Unit Fungsi'!K14</f>
        <v>0.71937191858710159</v>
      </c>
      <c r="P14" s="61" t="s">
        <v>203</v>
      </c>
      <c r="Q14" s="61">
        <v>0</v>
      </c>
      <c r="R14" s="60">
        <f t="shared" si="3"/>
        <v>0</v>
      </c>
      <c r="S14" s="7"/>
      <c r="T14" s="7"/>
      <c r="U14" s="24"/>
      <c r="V14" s="24"/>
      <c r="W14" s="17" t="s">
        <v>31</v>
      </c>
      <c r="X14" s="44">
        <f>'Unit Fungsi'!P14</f>
        <v>0.27173682328925053</v>
      </c>
      <c r="Y14" s="18" t="s">
        <v>207</v>
      </c>
      <c r="Z14" s="55">
        <f t="shared" si="4"/>
        <v>2.2700000000000001E-8</v>
      </c>
      <c r="AA14" s="56">
        <f t="shared" si="5"/>
        <v>6.1684258886659873E-9</v>
      </c>
      <c r="AB14" s="7"/>
      <c r="AC14" s="16"/>
      <c r="AD14" s="7"/>
      <c r="AE14" s="7"/>
      <c r="AF14" s="7"/>
      <c r="AG14" s="7"/>
      <c r="AH14" s="24"/>
      <c r="AI14" s="24"/>
      <c r="AJ14" s="13"/>
      <c r="AK14" s="13"/>
      <c r="AL14" s="13"/>
      <c r="AM14" s="24"/>
      <c r="AN14" s="24"/>
      <c r="AO14" s="13"/>
      <c r="AP14" s="13"/>
      <c r="AQ14" s="13"/>
      <c r="AR14" s="14"/>
    </row>
    <row r="15" spans="1:44" ht="14.25" customHeight="1" x14ac:dyDescent="0.3">
      <c r="A15" s="353"/>
      <c r="B15" s="353"/>
      <c r="C15" s="10"/>
      <c r="D15" s="7"/>
      <c r="E15" s="45"/>
      <c r="F15" s="25"/>
      <c r="G15" s="16"/>
      <c r="H15" s="16"/>
      <c r="I15" s="7"/>
      <c r="J15" s="45"/>
      <c r="K15" s="25"/>
      <c r="L15" s="16"/>
      <c r="M15" s="16"/>
      <c r="N15" s="10" t="s">
        <v>46</v>
      </c>
      <c r="O15" s="48">
        <f>'Unit Fungsi'!K15</f>
        <v>1.0797875586246475</v>
      </c>
      <c r="P15" s="61" t="s">
        <v>203</v>
      </c>
      <c r="Q15" s="61">
        <v>0</v>
      </c>
      <c r="R15" s="60">
        <f t="shared" si="3"/>
        <v>0</v>
      </c>
      <c r="S15" s="7"/>
      <c r="T15" s="7"/>
      <c r="U15" s="24"/>
      <c r="V15" s="24"/>
      <c r="W15" s="24"/>
      <c r="X15" s="16"/>
      <c r="Y15" s="25"/>
      <c r="Z15" s="25"/>
      <c r="AA15" s="25"/>
      <c r="AB15" s="7"/>
      <c r="AC15" s="16"/>
      <c r="AD15" s="7"/>
      <c r="AE15" s="7"/>
      <c r="AF15" s="7"/>
      <c r="AG15" s="7"/>
      <c r="AH15" s="24"/>
      <c r="AI15" s="24"/>
      <c r="AJ15" s="13"/>
      <c r="AK15" s="13"/>
      <c r="AL15" s="13"/>
      <c r="AM15" s="24"/>
      <c r="AN15" s="24"/>
      <c r="AO15" s="13"/>
      <c r="AP15" s="13"/>
      <c r="AQ15" s="13"/>
      <c r="AR15" s="14"/>
    </row>
    <row r="16" spans="1:44" ht="14.25" customHeight="1" x14ac:dyDescent="0.3">
      <c r="A16" s="353"/>
      <c r="B16" s="353"/>
      <c r="C16" s="10"/>
      <c r="D16" s="7"/>
      <c r="E16" s="45"/>
      <c r="F16" s="25"/>
      <c r="G16" s="16"/>
      <c r="H16" s="16"/>
      <c r="I16" s="7"/>
      <c r="J16" s="45"/>
      <c r="K16" s="25"/>
      <c r="L16" s="16"/>
      <c r="M16" s="16"/>
      <c r="N16" s="3" t="s">
        <v>47</v>
      </c>
      <c r="O16" s="48">
        <f>'Unit Fungsi'!K16</f>
        <v>3.1853188397032023E-2</v>
      </c>
      <c r="P16" s="61" t="s">
        <v>204</v>
      </c>
      <c r="Q16" s="61">
        <v>0</v>
      </c>
      <c r="R16" s="60">
        <f t="shared" si="3"/>
        <v>0</v>
      </c>
      <c r="S16" s="7"/>
      <c r="T16" s="7"/>
      <c r="U16" s="24"/>
      <c r="V16" s="24"/>
      <c r="W16" s="24"/>
      <c r="X16" s="16"/>
      <c r="Y16" s="25"/>
      <c r="Z16" s="25"/>
      <c r="AA16" s="25"/>
      <c r="AB16" s="7"/>
      <c r="AC16" s="16"/>
      <c r="AD16" s="7"/>
      <c r="AE16" s="7"/>
      <c r="AF16" s="7"/>
      <c r="AG16" s="7"/>
      <c r="AH16" s="24"/>
      <c r="AI16" s="24"/>
      <c r="AJ16" s="13"/>
      <c r="AK16" s="13"/>
      <c r="AL16" s="13"/>
      <c r="AM16" s="24"/>
      <c r="AN16" s="24"/>
      <c r="AO16" s="13"/>
      <c r="AP16" s="13"/>
      <c r="AQ16" s="13"/>
      <c r="AR16" s="14"/>
    </row>
    <row r="17" spans="1:44" ht="14.25" customHeight="1" x14ac:dyDescent="0.35">
      <c r="A17" s="354"/>
      <c r="B17" s="354"/>
      <c r="C17" s="10"/>
      <c r="D17" s="7"/>
      <c r="E17" s="45"/>
      <c r="F17" s="25"/>
      <c r="G17" s="16"/>
      <c r="H17" s="16"/>
      <c r="I17" s="7"/>
      <c r="J17" s="45"/>
      <c r="K17" s="25"/>
      <c r="L17" s="16"/>
      <c r="M17" s="16"/>
      <c r="N17" s="26"/>
      <c r="O17" s="26"/>
      <c r="P17" s="26"/>
      <c r="Q17" s="26"/>
      <c r="R17" s="26"/>
      <c r="S17" s="7"/>
      <c r="T17" s="7"/>
      <c r="U17" s="24"/>
      <c r="V17" s="24"/>
      <c r="W17" s="7"/>
      <c r="X17" s="16"/>
      <c r="Y17" s="25"/>
      <c r="Z17" s="16"/>
      <c r="AA17" s="16"/>
      <c r="AB17" s="7"/>
      <c r="AC17" s="16"/>
      <c r="AD17" s="7"/>
      <c r="AE17" s="7"/>
      <c r="AF17" s="7"/>
      <c r="AG17" s="7"/>
      <c r="AH17" s="24"/>
      <c r="AI17" s="24"/>
      <c r="AJ17" s="13"/>
      <c r="AK17" s="13"/>
      <c r="AL17" s="13"/>
      <c r="AM17" s="24"/>
      <c r="AN17" s="24"/>
      <c r="AO17" s="13"/>
      <c r="AP17" s="13"/>
      <c r="AQ17" s="13"/>
      <c r="AR17" s="14"/>
    </row>
    <row r="18" spans="1:44" ht="14.25" customHeight="1" x14ac:dyDescent="0.3">
      <c r="A18" s="378">
        <v>4</v>
      </c>
      <c r="B18" s="358" t="s">
        <v>49</v>
      </c>
      <c r="C18" s="14" t="s">
        <v>19</v>
      </c>
      <c r="D18" s="5" t="s">
        <v>50</v>
      </c>
      <c r="E18" s="43">
        <f>'Unit Fungsi'!E18</f>
        <v>24.839966543981944</v>
      </c>
      <c r="F18" s="18" t="s">
        <v>201</v>
      </c>
      <c r="G18" s="18">
        <v>0</v>
      </c>
      <c r="H18" s="60">
        <f>E18*G18</f>
        <v>0</v>
      </c>
      <c r="I18" s="3" t="s">
        <v>22</v>
      </c>
      <c r="J18" s="50">
        <f>'Unit Fungsi'!H18</f>
        <v>9.197851763478754</v>
      </c>
      <c r="K18" s="18" t="s">
        <v>203</v>
      </c>
      <c r="L18" s="51">
        <f>L4</f>
        <v>6.4499999999999997E-7</v>
      </c>
      <c r="M18" s="52">
        <f>J18*L18</f>
        <v>5.9326143874437957E-6</v>
      </c>
      <c r="N18" s="7"/>
      <c r="O18" s="7"/>
      <c r="P18" s="7"/>
      <c r="Q18" s="7"/>
      <c r="R18" s="7"/>
      <c r="S18" s="7"/>
      <c r="T18" s="7"/>
      <c r="U18" s="24"/>
      <c r="V18" s="24"/>
      <c r="W18" s="8" t="s">
        <v>24</v>
      </c>
      <c r="X18" s="44">
        <f>'Unit Fungsi'!P18</f>
        <v>4.6914061003794451E-2</v>
      </c>
      <c r="Y18" s="20" t="s">
        <v>205</v>
      </c>
      <c r="Z18" s="53">
        <f t="shared" ref="Z18:Z20" si="6">Z4</f>
        <v>1.55E-8</v>
      </c>
      <c r="AA18" s="54">
        <f t="shared" ref="AA18:AA20" si="7">X18*Z18</f>
        <v>7.2716794555881399E-10</v>
      </c>
      <c r="AB18" s="5" t="s">
        <v>50</v>
      </c>
      <c r="AC18" s="43">
        <f>'Unit Fungsi'!S18</f>
        <v>24.839966543981944</v>
      </c>
      <c r="AD18" s="6" t="s">
        <v>40</v>
      </c>
      <c r="AE18" s="7"/>
      <c r="AF18" s="7"/>
      <c r="AG18" s="7"/>
      <c r="AH18" s="24"/>
      <c r="AI18" s="24"/>
      <c r="AJ18" s="13"/>
      <c r="AK18" s="13"/>
      <c r="AL18" s="13"/>
      <c r="AM18" s="24"/>
      <c r="AN18" s="24"/>
      <c r="AO18" s="13"/>
      <c r="AP18" s="13"/>
      <c r="AQ18" s="13"/>
      <c r="AR18" s="14"/>
    </row>
    <row r="19" spans="1:44" ht="14.25" customHeight="1" x14ac:dyDescent="0.3">
      <c r="A19" s="353"/>
      <c r="B19" s="353"/>
      <c r="C19" s="14" t="s">
        <v>51</v>
      </c>
      <c r="D19" s="7"/>
      <c r="E19" s="16"/>
      <c r="F19" s="25"/>
      <c r="G19" s="16"/>
      <c r="H19" s="16"/>
      <c r="I19" s="7"/>
      <c r="J19" s="45"/>
      <c r="K19" s="25"/>
      <c r="L19" s="16"/>
      <c r="M19" s="16"/>
      <c r="N19" s="7"/>
      <c r="O19" s="7"/>
      <c r="P19" s="7"/>
      <c r="Q19" s="7"/>
      <c r="R19" s="7"/>
      <c r="S19" s="7"/>
      <c r="T19" s="7"/>
      <c r="U19" s="24"/>
      <c r="V19" s="24"/>
      <c r="W19" s="17" t="s">
        <v>29</v>
      </c>
      <c r="X19" s="44">
        <f>'Unit Fungsi'!P19</f>
        <v>0.7134037784789391</v>
      </c>
      <c r="Y19" s="18" t="s">
        <v>206</v>
      </c>
      <c r="Z19" s="55">
        <f t="shared" si="6"/>
        <v>5.1399999999999997E-8</v>
      </c>
      <c r="AA19" s="56">
        <f t="shared" si="7"/>
        <v>3.6668954213817467E-8</v>
      </c>
      <c r="AB19" s="7"/>
      <c r="AC19" s="16"/>
      <c r="AD19" s="7"/>
      <c r="AE19" s="7"/>
      <c r="AF19" s="7"/>
      <c r="AG19" s="7"/>
      <c r="AH19" s="24"/>
      <c r="AI19" s="24"/>
      <c r="AJ19" s="13"/>
      <c r="AK19" s="13"/>
      <c r="AL19" s="13"/>
      <c r="AM19" s="24"/>
      <c r="AN19" s="24"/>
      <c r="AO19" s="13"/>
      <c r="AP19" s="13"/>
      <c r="AQ19" s="13"/>
      <c r="AR19" s="14"/>
    </row>
    <row r="20" spans="1:44" ht="14.25" customHeight="1" x14ac:dyDescent="0.3">
      <c r="A20" s="353"/>
      <c r="B20" s="353"/>
      <c r="C20" s="14"/>
      <c r="D20" s="7"/>
      <c r="E20" s="16"/>
      <c r="F20" s="25"/>
      <c r="G20" s="16"/>
      <c r="H20" s="16"/>
      <c r="I20" s="7"/>
      <c r="J20" s="45"/>
      <c r="K20" s="25"/>
      <c r="L20" s="16"/>
      <c r="M20" s="16"/>
      <c r="N20" s="7"/>
      <c r="O20" s="7"/>
      <c r="P20" s="7"/>
      <c r="Q20" s="7"/>
      <c r="R20" s="7"/>
      <c r="S20" s="7"/>
      <c r="T20" s="7"/>
      <c r="U20" s="24"/>
      <c r="V20" s="24"/>
      <c r="W20" s="17" t="s">
        <v>31</v>
      </c>
      <c r="X20" s="44">
        <f>'Unit Fungsi'!P20</f>
        <v>27.882033368472637</v>
      </c>
      <c r="Y20" s="18" t="s">
        <v>207</v>
      </c>
      <c r="Z20" s="55">
        <f t="shared" si="6"/>
        <v>2.2700000000000001E-8</v>
      </c>
      <c r="AA20" s="56">
        <f t="shared" si="7"/>
        <v>6.3292215746432887E-7</v>
      </c>
      <c r="AB20" s="7"/>
      <c r="AC20" s="16"/>
      <c r="AD20" s="7"/>
      <c r="AE20" s="7"/>
      <c r="AF20" s="7"/>
      <c r="AG20" s="7"/>
      <c r="AH20" s="24"/>
      <c r="AI20" s="24"/>
      <c r="AJ20" s="13"/>
      <c r="AK20" s="13"/>
      <c r="AL20" s="13"/>
      <c r="AM20" s="24"/>
      <c r="AN20" s="24"/>
      <c r="AO20" s="13"/>
      <c r="AP20" s="13"/>
      <c r="AQ20" s="13"/>
      <c r="AR20" s="14"/>
    </row>
    <row r="21" spans="1:44" ht="14.25" customHeight="1" x14ac:dyDescent="0.3">
      <c r="A21" s="354"/>
      <c r="B21" s="354"/>
      <c r="C21" s="14"/>
      <c r="D21" s="7"/>
      <c r="E21" s="16"/>
      <c r="F21" s="25"/>
      <c r="G21" s="16"/>
      <c r="H21" s="16"/>
      <c r="I21" s="7"/>
      <c r="J21" s="45"/>
      <c r="K21" s="25"/>
      <c r="L21" s="16"/>
      <c r="M21" s="16"/>
      <c r="N21" s="7"/>
      <c r="O21" s="7"/>
      <c r="P21" s="7"/>
      <c r="Q21" s="7"/>
      <c r="R21" s="7"/>
      <c r="S21" s="7"/>
      <c r="T21" s="7"/>
      <c r="U21" s="24"/>
      <c r="V21" s="24"/>
      <c r="W21" s="7"/>
      <c r="X21" s="46"/>
      <c r="Y21" s="25"/>
      <c r="Z21" s="16"/>
      <c r="AA21" s="16"/>
      <c r="AB21" s="7"/>
      <c r="AC21" s="16"/>
      <c r="AD21" s="7"/>
      <c r="AE21" s="7"/>
      <c r="AF21" s="7"/>
      <c r="AG21" s="7"/>
      <c r="AH21" s="24"/>
      <c r="AI21" s="24"/>
      <c r="AJ21" s="13"/>
      <c r="AK21" s="13"/>
      <c r="AL21" s="13"/>
      <c r="AM21" s="24"/>
      <c r="AN21" s="24"/>
      <c r="AO21" s="13"/>
      <c r="AP21" s="13"/>
      <c r="AQ21" s="13"/>
      <c r="AR21" s="14"/>
    </row>
    <row r="22" spans="1:44" ht="14.25" customHeight="1" x14ac:dyDescent="0.3">
      <c r="A22" s="356">
        <v>5</v>
      </c>
      <c r="B22" s="358" t="s">
        <v>52</v>
      </c>
      <c r="C22" s="28" t="s">
        <v>53</v>
      </c>
      <c r="D22" s="5" t="s">
        <v>54</v>
      </c>
      <c r="E22" s="6">
        <f>'Unit Fungsi'!E22</f>
        <v>1</v>
      </c>
      <c r="F22" s="18" t="s">
        <v>202</v>
      </c>
      <c r="G22" s="44">
        <f>CF!F6</f>
        <v>1.7499999999999998E-11</v>
      </c>
      <c r="H22" s="52">
        <f>E22*G22</f>
        <v>1.7499999999999998E-11</v>
      </c>
      <c r="I22" s="3" t="s">
        <v>22</v>
      </c>
      <c r="J22" s="48">
        <f>'Unit Fungsi'!H22</f>
        <v>0.15524651167584114</v>
      </c>
      <c r="K22" s="18" t="s">
        <v>203</v>
      </c>
      <c r="L22" s="51">
        <f>L4</f>
        <v>6.4499999999999997E-7</v>
      </c>
      <c r="M22" s="52">
        <f>J22*L22</f>
        <v>1.0013400003091752E-7</v>
      </c>
      <c r="N22" s="7"/>
      <c r="O22" s="7"/>
      <c r="P22" s="7"/>
      <c r="Q22" s="7"/>
      <c r="R22" s="7"/>
      <c r="S22" s="7"/>
      <c r="T22" s="7"/>
      <c r="U22" s="24"/>
      <c r="V22" s="24"/>
      <c r="W22" s="8" t="s">
        <v>24</v>
      </c>
      <c r="X22" s="44">
        <f>'Unit Fungsi'!P22</f>
        <v>7.9184188946224924E-4</v>
      </c>
      <c r="Y22" s="20" t="s">
        <v>205</v>
      </c>
      <c r="Z22" s="53">
        <f t="shared" ref="Z22:Z24" si="8">Z4</f>
        <v>1.55E-8</v>
      </c>
      <c r="AA22" s="54">
        <f t="shared" ref="AA22:AA24" si="9">X22*Z22</f>
        <v>1.2273549286664863E-11</v>
      </c>
      <c r="AB22" s="17" t="s">
        <v>54</v>
      </c>
      <c r="AC22" s="6">
        <f>'Unit Fungsi'!S22</f>
        <v>1</v>
      </c>
      <c r="AD22" s="6" t="s">
        <v>55</v>
      </c>
      <c r="AE22" s="7"/>
      <c r="AF22" s="7"/>
      <c r="AG22" s="7"/>
      <c r="AH22" s="24"/>
      <c r="AI22" s="24"/>
      <c r="AJ22" s="13"/>
      <c r="AK22" s="13"/>
      <c r="AL22" s="13"/>
      <c r="AM22" s="24"/>
      <c r="AN22" s="24"/>
      <c r="AO22" s="13"/>
      <c r="AP22" s="13"/>
      <c r="AQ22" s="13"/>
      <c r="AR22" s="14"/>
    </row>
    <row r="23" spans="1:44" ht="14.25" customHeight="1" x14ac:dyDescent="0.3">
      <c r="A23" s="353"/>
      <c r="B23" s="353"/>
      <c r="C23" s="28"/>
      <c r="D23" s="7"/>
      <c r="E23" s="16"/>
      <c r="F23" s="25"/>
      <c r="G23" s="16"/>
      <c r="H23" s="16"/>
      <c r="I23" s="7"/>
      <c r="J23" s="45"/>
      <c r="K23" s="25"/>
      <c r="L23" s="16"/>
      <c r="M23" s="16"/>
      <c r="N23" s="7"/>
      <c r="O23" s="7"/>
      <c r="P23" s="7"/>
      <c r="Q23" s="7"/>
      <c r="R23" s="7"/>
      <c r="S23" s="7"/>
      <c r="T23" s="7"/>
      <c r="U23" s="24"/>
      <c r="V23" s="24"/>
      <c r="W23" s="17" t="s">
        <v>29</v>
      </c>
      <c r="X23" s="44">
        <f>'Unit Fungsi'!P23</f>
        <v>1.2041229938601588E-2</v>
      </c>
      <c r="Y23" s="18" t="s">
        <v>206</v>
      </c>
      <c r="Z23" s="55">
        <f t="shared" si="8"/>
        <v>5.1399999999999997E-8</v>
      </c>
      <c r="AA23" s="56">
        <f t="shared" si="9"/>
        <v>6.189192188441216E-10</v>
      </c>
      <c r="AB23" s="24"/>
      <c r="AC23" s="16"/>
      <c r="AD23" s="16"/>
      <c r="AE23" s="7"/>
      <c r="AF23" s="7"/>
      <c r="AG23" s="7"/>
      <c r="AH23" s="24"/>
      <c r="AI23" s="24"/>
      <c r="AJ23" s="13"/>
      <c r="AK23" s="13"/>
      <c r="AL23" s="13"/>
      <c r="AM23" s="24"/>
      <c r="AN23" s="24"/>
      <c r="AO23" s="13"/>
      <c r="AP23" s="13"/>
      <c r="AQ23" s="13"/>
      <c r="AR23" s="14"/>
    </row>
    <row r="24" spans="1:44" ht="14.25" customHeight="1" x14ac:dyDescent="0.3">
      <c r="A24" s="353"/>
      <c r="B24" s="353"/>
      <c r="C24" s="28"/>
      <c r="D24" s="7"/>
      <c r="E24" s="16"/>
      <c r="F24" s="25"/>
      <c r="G24" s="16"/>
      <c r="H24" s="16"/>
      <c r="I24" s="7"/>
      <c r="J24" s="45"/>
      <c r="K24" s="25"/>
      <c r="L24" s="16"/>
      <c r="M24" s="16"/>
      <c r="N24" s="7"/>
      <c r="O24" s="7"/>
      <c r="P24" s="7"/>
      <c r="Q24" s="7"/>
      <c r="R24" s="7"/>
      <c r="S24" s="7"/>
      <c r="T24" s="7"/>
      <c r="U24" s="24"/>
      <c r="V24" s="24"/>
      <c r="W24" s="17" t="s">
        <v>31</v>
      </c>
      <c r="X24" s="44">
        <f>'Unit Fungsi'!P24</f>
        <v>0.47060863016644744</v>
      </c>
      <c r="Y24" s="18" t="s">
        <v>207</v>
      </c>
      <c r="Z24" s="55">
        <f t="shared" si="8"/>
        <v>2.2700000000000001E-8</v>
      </c>
      <c r="AA24" s="56">
        <f t="shared" si="9"/>
        <v>1.0682815904778357E-8</v>
      </c>
      <c r="AB24" s="24"/>
      <c r="AC24" s="16"/>
      <c r="AD24" s="16"/>
      <c r="AE24" s="7"/>
      <c r="AF24" s="7"/>
      <c r="AG24" s="7"/>
      <c r="AH24" s="24"/>
      <c r="AI24" s="24"/>
      <c r="AJ24" s="13"/>
      <c r="AK24" s="13"/>
      <c r="AL24" s="13"/>
      <c r="AM24" s="24"/>
      <c r="AN24" s="24"/>
      <c r="AO24" s="13"/>
      <c r="AP24" s="13"/>
      <c r="AQ24" s="13"/>
      <c r="AR24" s="14"/>
    </row>
    <row r="25" spans="1:44" ht="14.25" customHeight="1" x14ac:dyDescent="0.3">
      <c r="A25" s="354"/>
      <c r="B25" s="354"/>
      <c r="C25" s="28"/>
      <c r="D25" s="7"/>
      <c r="E25" s="16"/>
      <c r="F25" s="25"/>
      <c r="G25" s="16"/>
      <c r="H25" s="16"/>
      <c r="I25" s="7"/>
      <c r="J25" s="45"/>
      <c r="K25" s="25"/>
      <c r="L25" s="16"/>
      <c r="M25" s="16"/>
      <c r="N25" s="7"/>
      <c r="O25" s="7"/>
      <c r="P25" s="7"/>
      <c r="Q25" s="7"/>
      <c r="R25" s="7"/>
      <c r="S25" s="7"/>
      <c r="T25" s="7"/>
      <c r="U25" s="24"/>
      <c r="V25" s="24"/>
      <c r="W25" s="7"/>
      <c r="X25" s="46"/>
      <c r="Y25" s="25"/>
      <c r="Z25" s="16"/>
      <c r="AA25" s="16"/>
      <c r="AB25" s="24"/>
      <c r="AC25" s="16"/>
      <c r="AD25" s="16"/>
      <c r="AE25" s="7"/>
      <c r="AF25" s="7"/>
      <c r="AG25" s="7"/>
      <c r="AH25" s="24"/>
      <c r="AI25" s="24"/>
      <c r="AJ25" s="13"/>
      <c r="AK25" s="13"/>
      <c r="AL25" s="13"/>
      <c r="AM25" s="24"/>
      <c r="AN25" s="24"/>
      <c r="AO25" s="13"/>
      <c r="AP25" s="13"/>
      <c r="AQ25" s="13"/>
      <c r="AR25" s="14"/>
    </row>
    <row r="26" spans="1:44" ht="14.25" customHeight="1" x14ac:dyDescent="0.3">
      <c r="A26" s="378">
        <v>6</v>
      </c>
      <c r="B26" s="358" t="s">
        <v>56</v>
      </c>
      <c r="C26" s="28" t="s">
        <v>57</v>
      </c>
      <c r="D26" s="5" t="s">
        <v>54</v>
      </c>
      <c r="E26" s="6">
        <f>'Unit Fungsi'!E26</f>
        <v>1</v>
      </c>
      <c r="F26" s="18" t="s">
        <v>202</v>
      </c>
      <c r="G26" s="44">
        <f>G22</f>
        <v>1.7499999999999998E-11</v>
      </c>
      <c r="H26" s="52">
        <f>E26*G26</f>
        <v>1.7499999999999998E-11</v>
      </c>
      <c r="I26" s="3" t="s">
        <v>22</v>
      </c>
      <c r="J26" s="48">
        <f>'Unit Fungsi'!H26</f>
        <v>0.3662570239060281</v>
      </c>
      <c r="K26" s="18" t="s">
        <v>203</v>
      </c>
      <c r="L26" s="51">
        <f>L4</f>
        <v>6.4499999999999997E-7</v>
      </c>
      <c r="M26" s="52">
        <f>J26*L26</f>
        <v>2.3623578041938811E-7</v>
      </c>
      <c r="N26" s="7"/>
      <c r="O26" s="7"/>
      <c r="P26" s="7"/>
      <c r="Q26" s="7"/>
      <c r="R26" s="7"/>
      <c r="S26" s="7"/>
      <c r="T26" s="7"/>
      <c r="U26" s="24"/>
      <c r="V26" s="24"/>
      <c r="W26" s="8" t="s">
        <v>24</v>
      </c>
      <c r="X26" s="44">
        <f>'Unit Fungsi'!P26</f>
        <v>1.8681105984792374E-3</v>
      </c>
      <c r="Y26" s="20" t="s">
        <v>205</v>
      </c>
      <c r="Z26" s="53">
        <f t="shared" ref="Z26:Z28" si="10">Z4</f>
        <v>1.55E-8</v>
      </c>
      <c r="AA26" s="54">
        <f t="shared" ref="AA26:AA28" si="11">X26*Z26</f>
        <v>2.895571427642818E-11</v>
      </c>
      <c r="AB26" s="17" t="s">
        <v>54</v>
      </c>
      <c r="AC26" s="6">
        <f>'Unit Fungsi'!S26</f>
        <v>1</v>
      </c>
      <c r="AD26" s="6" t="s">
        <v>55</v>
      </c>
      <c r="AE26" s="7"/>
      <c r="AF26" s="7"/>
      <c r="AG26" s="7"/>
      <c r="AH26" s="24"/>
      <c r="AI26" s="24"/>
      <c r="AJ26" s="13"/>
      <c r="AK26" s="13"/>
      <c r="AL26" s="13"/>
      <c r="AM26" s="24"/>
      <c r="AN26" s="24"/>
      <c r="AO26" s="13"/>
      <c r="AP26" s="13"/>
      <c r="AQ26" s="13"/>
      <c r="AR26" s="14"/>
    </row>
    <row r="27" spans="1:44" ht="14.25" customHeight="1" x14ac:dyDescent="0.3">
      <c r="A27" s="353"/>
      <c r="B27" s="353"/>
      <c r="C27" s="28"/>
      <c r="D27" s="7"/>
      <c r="E27" s="16"/>
      <c r="F27" s="25"/>
      <c r="G27" s="16"/>
      <c r="H27" s="16"/>
      <c r="I27" s="7"/>
      <c r="J27" s="45"/>
      <c r="K27" s="25"/>
      <c r="L27" s="16"/>
      <c r="M27" s="16"/>
      <c r="N27" s="7"/>
      <c r="O27" s="7"/>
      <c r="P27" s="7"/>
      <c r="Q27" s="7"/>
      <c r="R27" s="7"/>
      <c r="S27" s="7"/>
      <c r="T27" s="7"/>
      <c r="U27" s="24"/>
      <c r="V27" s="24"/>
      <c r="W27" s="17" t="s">
        <v>29</v>
      </c>
      <c r="X27" s="44">
        <f>'Unit Fungsi'!P27</f>
        <v>2.8407627288199351E-2</v>
      </c>
      <c r="Y27" s="18" t="s">
        <v>206</v>
      </c>
      <c r="Z27" s="55">
        <f t="shared" si="10"/>
        <v>5.1399999999999997E-8</v>
      </c>
      <c r="AA27" s="56">
        <f t="shared" si="11"/>
        <v>1.4601520426134465E-9</v>
      </c>
      <c r="AB27" s="24"/>
      <c r="AC27" s="16"/>
      <c r="AD27" s="16"/>
      <c r="AE27" s="7"/>
      <c r="AF27" s="7"/>
      <c r="AG27" s="7"/>
      <c r="AH27" s="24"/>
      <c r="AI27" s="24"/>
      <c r="AJ27" s="13"/>
      <c r="AK27" s="13"/>
      <c r="AL27" s="13"/>
      <c r="AM27" s="24"/>
      <c r="AN27" s="24"/>
      <c r="AO27" s="13"/>
      <c r="AP27" s="13"/>
      <c r="AQ27" s="13"/>
      <c r="AR27" s="14"/>
    </row>
    <row r="28" spans="1:44" ht="14.25" customHeight="1" x14ac:dyDescent="0.3">
      <c r="A28" s="353"/>
      <c r="B28" s="353"/>
      <c r="C28" s="28"/>
      <c r="D28" s="7"/>
      <c r="E28" s="16"/>
      <c r="F28" s="25"/>
      <c r="G28" s="16"/>
      <c r="H28" s="16"/>
      <c r="I28" s="7"/>
      <c r="J28" s="45"/>
      <c r="K28" s="25"/>
      <c r="L28" s="16"/>
      <c r="M28" s="16"/>
      <c r="N28" s="7"/>
      <c r="O28" s="7"/>
      <c r="P28" s="7"/>
      <c r="Q28" s="7"/>
      <c r="R28" s="7"/>
      <c r="S28" s="7"/>
      <c r="T28" s="7"/>
      <c r="U28" s="24"/>
      <c r="V28" s="24"/>
      <c r="W28" s="17" t="s">
        <v>31</v>
      </c>
      <c r="X28" s="44">
        <f>'Unit Fungsi'!P28</f>
        <v>1.1102582238315004</v>
      </c>
      <c r="Y28" s="18" t="s">
        <v>207</v>
      </c>
      <c r="Z28" s="55">
        <f t="shared" si="10"/>
        <v>2.2700000000000001E-8</v>
      </c>
      <c r="AA28" s="56">
        <f t="shared" si="11"/>
        <v>2.5202861680975062E-8</v>
      </c>
      <c r="AB28" s="24"/>
      <c r="AC28" s="16"/>
      <c r="AD28" s="16"/>
      <c r="AE28" s="7"/>
      <c r="AF28" s="7"/>
      <c r="AG28" s="7"/>
      <c r="AH28" s="24"/>
      <c r="AI28" s="24"/>
      <c r="AJ28" s="13"/>
      <c r="AK28" s="13"/>
      <c r="AL28" s="13"/>
      <c r="AM28" s="24"/>
      <c r="AN28" s="24"/>
      <c r="AO28" s="13"/>
      <c r="AP28" s="13"/>
      <c r="AQ28" s="13"/>
      <c r="AR28" s="14"/>
    </row>
    <row r="29" spans="1:44" ht="14.25" customHeight="1" x14ac:dyDescent="0.3">
      <c r="A29" s="354"/>
      <c r="B29" s="354"/>
      <c r="C29" s="28"/>
      <c r="D29" s="7"/>
      <c r="E29" s="16"/>
      <c r="F29" s="25"/>
      <c r="G29" s="16"/>
      <c r="H29" s="16"/>
      <c r="I29" s="7"/>
      <c r="J29" s="45"/>
      <c r="K29" s="25"/>
      <c r="L29" s="16"/>
      <c r="M29" s="16"/>
      <c r="N29" s="7"/>
      <c r="O29" s="7"/>
      <c r="P29" s="7"/>
      <c r="Q29" s="7"/>
      <c r="R29" s="7"/>
      <c r="S29" s="7"/>
      <c r="T29" s="7"/>
      <c r="U29" s="24"/>
      <c r="V29" s="24"/>
      <c r="W29" s="7"/>
      <c r="X29" s="46"/>
      <c r="Y29" s="25"/>
      <c r="Z29" s="16"/>
      <c r="AA29" s="16"/>
      <c r="AB29" s="24"/>
      <c r="AC29" s="16"/>
      <c r="AD29" s="16"/>
      <c r="AE29" s="7"/>
      <c r="AF29" s="7"/>
      <c r="AG29" s="7"/>
      <c r="AH29" s="24"/>
      <c r="AI29" s="24"/>
      <c r="AJ29" s="13"/>
      <c r="AK29" s="13"/>
      <c r="AL29" s="13"/>
      <c r="AM29" s="24"/>
      <c r="AN29" s="24"/>
      <c r="AO29" s="13"/>
      <c r="AP29" s="13"/>
      <c r="AQ29" s="13"/>
      <c r="AR29" s="14"/>
    </row>
    <row r="30" spans="1:44" ht="14.25" customHeight="1" x14ac:dyDescent="0.3">
      <c r="A30" s="356">
        <v>7</v>
      </c>
      <c r="B30" s="358" t="s">
        <v>58</v>
      </c>
      <c r="C30" s="28" t="s">
        <v>28</v>
      </c>
      <c r="D30" s="5" t="s">
        <v>54</v>
      </c>
      <c r="E30" s="6">
        <f>'Unit Fungsi'!E30</f>
        <v>1</v>
      </c>
      <c r="F30" s="18" t="s">
        <v>202</v>
      </c>
      <c r="G30" s="44">
        <f>G22</f>
        <v>1.7499999999999998E-11</v>
      </c>
      <c r="H30" s="52">
        <f>E30*G30</f>
        <v>1.7499999999999998E-11</v>
      </c>
      <c r="I30" s="5" t="s">
        <v>22</v>
      </c>
      <c r="J30" s="43">
        <f>'Unit Fungsi'!H30</f>
        <v>0.94669558955441135</v>
      </c>
      <c r="K30" s="18" t="s">
        <v>203</v>
      </c>
      <c r="L30" s="44">
        <f>L4</f>
        <v>6.4499999999999997E-7</v>
      </c>
      <c r="M30" s="52">
        <f>J30*L30</f>
        <v>6.1061865526259529E-7</v>
      </c>
      <c r="N30" s="7"/>
      <c r="O30" s="7"/>
      <c r="P30" s="7"/>
      <c r="Q30" s="7"/>
      <c r="R30" s="7"/>
      <c r="S30" s="7"/>
      <c r="T30" s="7"/>
      <c r="U30" s="24"/>
      <c r="V30" s="24"/>
      <c r="W30" s="8" t="s">
        <v>24</v>
      </c>
      <c r="X30" s="44">
        <f>'Unit Fungsi'!P30</f>
        <v>4.828663886139983E-3</v>
      </c>
      <c r="Y30" s="20" t="s">
        <v>205</v>
      </c>
      <c r="Z30" s="53">
        <f t="shared" ref="Z30:Z32" si="12">Z4</f>
        <v>1.55E-8</v>
      </c>
      <c r="AA30" s="54">
        <f t="shared" ref="AA30:AA32" si="13">X30*Z30</f>
        <v>7.4844290235169741E-11</v>
      </c>
      <c r="AB30" s="17" t="s">
        <v>54</v>
      </c>
      <c r="AC30" s="6">
        <f>'Unit Fungsi'!S30</f>
        <v>1</v>
      </c>
      <c r="AD30" s="6" t="s">
        <v>55</v>
      </c>
      <c r="AE30" s="7"/>
      <c r="AF30" s="7"/>
      <c r="AG30" s="7"/>
      <c r="AH30" s="24"/>
      <c r="AI30" s="24"/>
      <c r="AJ30" s="13"/>
      <c r="AK30" s="13"/>
      <c r="AL30" s="13"/>
      <c r="AM30" s="24"/>
      <c r="AN30" s="24"/>
      <c r="AO30" s="13"/>
      <c r="AP30" s="13"/>
      <c r="AQ30" s="13"/>
      <c r="AR30" s="14"/>
    </row>
    <row r="31" spans="1:44" ht="14.25" customHeight="1" x14ac:dyDescent="0.3">
      <c r="A31" s="353"/>
      <c r="B31" s="353"/>
      <c r="C31" s="29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7" t="s">
        <v>29</v>
      </c>
      <c r="X31" s="44">
        <f>'Unit Fungsi'!P31</f>
        <v>7.3427603317019252E-2</v>
      </c>
      <c r="Y31" s="18" t="s">
        <v>206</v>
      </c>
      <c r="Z31" s="55">
        <f t="shared" si="12"/>
        <v>5.1399999999999997E-8</v>
      </c>
      <c r="AA31" s="56">
        <f t="shared" si="13"/>
        <v>3.774178810494789E-9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4"/>
    </row>
    <row r="32" spans="1:44" ht="14.25" customHeight="1" x14ac:dyDescent="0.3">
      <c r="A32" s="353"/>
      <c r="B32" s="353"/>
      <c r="C32" s="28" t="s">
        <v>57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7" t="s">
        <v>31</v>
      </c>
      <c r="X32" s="44">
        <f>'Unit Fungsi'!P32</f>
        <v>2.8697785848810766</v>
      </c>
      <c r="Y32" s="18" t="s">
        <v>207</v>
      </c>
      <c r="Z32" s="55">
        <f t="shared" si="12"/>
        <v>2.2700000000000001E-8</v>
      </c>
      <c r="AA32" s="56">
        <f t="shared" si="13"/>
        <v>6.514397387680045E-8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</row>
    <row r="33" spans="1:50" ht="14.25" customHeight="1" x14ac:dyDescent="0.3">
      <c r="A33" s="353"/>
      <c r="B33" s="353"/>
      <c r="C33" s="28" t="s">
        <v>19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4"/>
    </row>
    <row r="34" spans="1:50" ht="14.25" customHeight="1" x14ac:dyDescent="0.3">
      <c r="A34" s="353"/>
      <c r="B34" s="353"/>
      <c r="C34" s="29" t="s">
        <v>60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4"/>
    </row>
    <row r="35" spans="1:50" ht="14.25" customHeight="1" x14ac:dyDescent="0.3">
      <c r="A35" s="353"/>
      <c r="B35" s="353"/>
      <c r="C35" s="29" t="s">
        <v>61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4"/>
    </row>
    <row r="36" spans="1:50" ht="14.25" customHeight="1" x14ac:dyDescent="0.3">
      <c r="A36" s="353"/>
      <c r="B36" s="353"/>
      <c r="C36" s="28" t="s">
        <v>62</v>
      </c>
      <c r="D36" s="13"/>
      <c r="E36" s="30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4"/>
    </row>
    <row r="37" spans="1:50" ht="14.25" customHeight="1" x14ac:dyDescent="0.3">
      <c r="A37" s="353"/>
      <c r="B37" s="353"/>
      <c r="C37" s="29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4"/>
    </row>
    <row r="38" spans="1:50" ht="14.25" customHeight="1" x14ac:dyDescent="0.3">
      <c r="A38" s="354"/>
      <c r="B38" s="354"/>
      <c r="C38" s="29" t="s">
        <v>64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14"/>
    </row>
    <row r="39" spans="1:50" s="264" customFormat="1" ht="14.25" customHeight="1" x14ac:dyDescent="0.3">
      <c r="A39" s="346">
        <v>8</v>
      </c>
      <c r="B39" s="349" t="s">
        <v>272</v>
      </c>
      <c r="C39" s="268" t="s">
        <v>283</v>
      </c>
      <c r="D39" s="283" t="s">
        <v>54</v>
      </c>
      <c r="E39" s="289">
        <f>'Unit Fungsi'!E39</f>
        <v>1</v>
      </c>
      <c r="F39" s="18" t="s">
        <v>202</v>
      </c>
      <c r="G39" s="18">
        <f>G30</f>
        <v>1.7499999999999998E-11</v>
      </c>
      <c r="H39" s="60">
        <f>E39*G39</f>
        <v>1.7499999999999998E-11</v>
      </c>
      <c r="I39" s="284" t="s">
        <v>22</v>
      </c>
      <c r="J39" s="291">
        <f>'Unit Fungsi'!H39</f>
        <v>0.45896578825032147</v>
      </c>
      <c r="K39" s="18" t="s">
        <v>203</v>
      </c>
      <c r="L39" s="55">
        <f>L12</f>
        <v>6.4499999999999997E-7</v>
      </c>
      <c r="M39" s="57">
        <f>J39*L39</f>
        <v>2.9603293342145732E-7</v>
      </c>
      <c r="N39" s="269"/>
      <c r="O39" s="269"/>
      <c r="P39" s="269"/>
      <c r="Q39" s="269"/>
      <c r="R39" s="269"/>
      <c r="S39" s="291">
        <f>'Unit Fungsi'!M39</f>
        <v>21.936256196726596</v>
      </c>
      <c r="T39" s="18" t="s">
        <v>203</v>
      </c>
      <c r="U39" s="293"/>
      <c r="V39" s="293"/>
      <c r="W39" s="277" t="s">
        <v>29</v>
      </c>
      <c r="X39" s="291">
        <f>'Unit Fungsi'!P39</f>
        <v>0.40990362334425118</v>
      </c>
      <c r="Y39" s="18" t="s">
        <v>206</v>
      </c>
      <c r="Z39" s="55">
        <f t="shared" ref="Z39:Z40" si="14">Z13</f>
        <v>5.1399999999999997E-8</v>
      </c>
      <c r="AA39" s="56">
        <f>X39*Z39</f>
        <v>2.106904623989451E-8</v>
      </c>
      <c r="AB39" s="17" t="s">
        <v>54</v>
      </c>
      <c r="AC39" s="264">
        <f>'Unit Fungsi'!S39</f>
        <v>1</v>
      </c>
      <c r="AD39" s="18" t="s">
        <v>55</v>
      </c>
      <c r="AE39" s="269"/>
      <c r="AF39" s="269"/>
      <c r="AG39" s="269"/>
      <c r="AH39" s="269"/>
      <c r="AI39" s="269"/>
      <c r="AJ39" s="291" t="str">
        <f>'Unit Fungsi'!X39</f>
        <v>Air Limbah</v>
      </c>
      <c r="AK39" s="292">
        <f>'Unit Fungsi'!Y39</f>
        <v>21.936256196726596</v>
      </c>
      <c r="AL39" s="277" t="s">
        <v>200</v>
      </c>
      <c r="AM39" s="292">
        <v>3.3899999999999999E-8</v>
      </c>
      <c r="AN39" s="300">
        <f>AM39*AK39</f>
        <v>7.4363908506903157E-7</v>
      </c>
      <c r="AO39" s="269"/>
      <c r="AP39" s="269"/>
      <c r="AQ39" s="269"/>
      <c r="AR39" s="277"/>
      <c r="AS39" s="292"/>
      <c r="AT39" s="292"/>
      <c r="AU39" s="288"/>
      <c r="AV39" s="288"/>
      <c r="AW39" s="288"/>
      <c r="AX39" s="287"/>
    </row>
    <row r="40" spans="1:50" s="264" customFormat="1" ht="14.25" customHeight="1" x14ac:dyDescent="0.3">
      <c r="A40" s="347"/>
      <c r="B40" s="350"/>
      <c r="C40" s="268"/>
      <c r="D40" s="284" t="s">
        <v>156</v>
      </c>
      <c r="E40" s="290">
        <f>'Unit Fungsi'!E40</f>
        <v>2.2355685488644349E-6</v>
      </c>
      <c r="F40" s="18" t="s">
        <v>202</v>
      </c>
      <c r="G40" s="293"/>
      <c r="H40" s="293"/>
      <c r="I40" s="284" t="s">
        <v>273</v>
      </c>
      <c r="J40" s="291">
        <f>'Unit Fungsi'!H40</f>
        <v>5.7370723531290184E-2</v>
      </c>
      <c r="K40" s="18" t="s">
        <v>203</v>
      </c>
      <c r="L40" s="55">
        <v>4.8583000000000006E-7</v>
      </c>
      <c r="M40" s="57">
        <f>J40*L40</f>
        <v>2.7872418613206714E-8</v>
      </c>
      <c r="N40" s="269"/>
      <c r="O40" s="269"/>
      <c r="P40" s="269"/>
      <c r="Q40" s="269"/>
      <c r="R40" s="269"/>
      <c r="S40" s="269"/>
      <c r="T40" s="269"/>
      <c r="U40" s="269"/>
      <c r="V40" s="269"/>
      <c r="W40" s="277" t="s">
        <v>31</v>
      </c>
      <c r="X40" s="291">
        <f>'Unit Fungsi'!P40</f>
        <v>0.2834240641956331</v>
      </c>
      <c r="Y40" s="18" t="s">
        <v>207</v>
      </c>
      <c r="Z40" s="55">
        <f t="shared" si="14"/>
        <v>2.2700000000000001E-8</v>
      </c>
      <c r="AA40" s="56">
        <f>X40*Z40</f>
        <v>6.4337262572408714E-9</v>
      </c>
      <c r="AB40" s="269"/>
      <c r="AC40" s="269"/>
      <c r="AD40" s="269"/>
      <c r="AE40" s="282" t="s">
        <v>195</v>
      </c>
      <c r="AF40" s="291">
        <f>'Unit Fungsi'!V40</f>
        <v>2.5277799059977782E-6</v>
      </c>
      <c r="AG40" s="279" t="s">
        <v>202</v>
      </c>
      <c r="AH40" s="298">
        <v>3E-9</v>
      </c>
      <c r="AI40" s="299">
        <f>AF40*AH40</f>
        <v>7.5833397179933342E-15</v>
      </c>
      <c r="AJ40" s="269"/>
      <c r="AK40" s="269"/>
      <c r="AL40" s="269"/>
      <c r="AM40" s="269"/>
      <c r="AN40" s="269"/>
      <c r="AO40" s="269"/>
      <c r="AP40" s="269"/>
      <c r="AQ40" s="269"/>
      <c r="AR40" s="288"/>
      <c r="AS40" s="288"/>
      <c r="AT40" s="288"/>
      <c r="AU40" s="288"/>
      <c r="AV40" s="288"/>
      <c r="AW40" s="288"/>
      <c r="AX40" s="287"/>
    </row>
    <row r="41" spans="1:50" s="264" customFormat="1" ht="14.25" customHeight="1" x14ac:dyDescent="0.3">
      <c r="A41" s="347"/>
      <c r="B41" s="350"/>
      <c r="C41" s="268"/>
      <c r="D41" s="284" t="s">
        <v>274</v>
      </c>
      <c r="E41" s="290">
        <f>'Unit Fungsi'!E41</f>
        <v>5.6919884053949107E-5</v>
      </c>
      <c r="F41" s="18" t="s">
        <v>202</v>
      </c>
      <c r="G41" s="293"/>
      <c r="H41" s="293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82" t="s">
        <v>275</v>
      </c>
      <c r="AF41" s="291">
        <f>'Unit Fungsi'!V41</f>
        <v>7.9553869134066085E-8</v>
      </c>
      <c r="AG41" s="279" t="s">
        <v>202</v>
      </c>
      <c r="AH41" s="298">
        <v>2.8700000000000002E-7</v>
      </c>
      <c r="AI41" s="299">
        <f t="shared" ref="AI41:AI48" si="15">AF41*AH41</f>
        <v>2.2831960441476968E-14</v>
      </c>
      <c r="AJ41" s="269"/>
      <c r="AK41" s="269"/>
      <c r="AL41" s="269"/>
      <c r="AM41" s="269"/>
      <c r="AN41" s="269"/>
      <c r="AO41" s="269"/>
      <c r="AP41" s="269"/>
      <c r="AQ41" s="269"/>
      <c r="AR41" s="288"/>
      <c r="AS41" s="288"/>
      <c r="AT41" s="288"/>
      <c r="AU41" s="288"/>
      <c r="AV41" s="288"/>
      <c r="AW41" s="288"/>
      <c r="AX41" s="287"/>
    </row>
    <row r="42" spans="1:50" s="264" customFormat="1" ht="14.25" customHeight="1" x14ac:dyDescent="0.3">
      <c r="A42" s="347"/>
      <c r="B42" s="350"/>
      <c r="C42" s="268"/>
      <c r="D42" s="284" t="s">
        <v>126</v>
      </c>
      <c r="E42" s="290">
        <f>'Unit Fungsi'!E42</f>
        <v>6.033037297453697E-5</v>
      </c>
      <c r="F42" s="18" t="s">
        <v>202</v>
      </c>
      <c r="G42" s="293"/>
      <c r="H42" s="293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82" t="s">
        <v>276</v>
      </c>
      <c r="AF42" s="291">
        <f>'Unit Fungsi'!V42</f>
        <v>1.4464339842557471E-6</v>
      </c>
      <c r="AG42" s="279" t="s">
        <v>202</v>
      </c>
      <c r="AH42" s="298">
        <v>3.3899999999999999E-8</v>
      </c>
      <c r="AI42" s="299">
        <f t="shared" si="15"/>
        <v>4.9034112066269824E-14</v>
      </c>
      <c r="AJ42" s="269"/>
      <c r="AK42" s="269"/>
      <c r="AL42" s="269"/>
      <c r="AM42" s="269"/>
      <c r="AN42" s="269"/>
      <c r="AO42" s="269"/>
      <c r="AP42" s="269"/>
      <c r="AQ42" s="269"/>
      <c r="AR42" s="288"/>
      <c r="AS42" s="288"/>
      <c r="AT42" s="288"/>
      <c r="AU42" s="288"/>
      <c r="AV42" s="288"/>
      <c r="AW42" s="288"/>
      <c r="AX42" s="287"/>
    </row>
    <row r="43" spans="1:50" s="264" customFormat="1" ht="14.25" customHeight="1" x14ac:dyDescent="0.3">
      <c r="A43" s="347"/>
      <c r="B43" s="350"/>
      <c r="C43" s="268"/>
      <c r="D43" s="284" t="s">
        <v>127</v>
      </c>
      <c r="E43" s="290">
        <f>'Unit Fungsi'!E43</f>
        <v>1.9306503372293342E-5</v>
      </c>
      <c r="F43" s="18" t="s">
        <v>202</v>
      </c>
      <c r="G43" s="293"/>
      <c r="H43" s="293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82" t="s">
        <v>277</v>
      </c>
      <c r="AF43" s="291">
        <f>'Unit Fungsi'!V43</f>
        <v>5.6919884053949109E-8</v>
      </c>
      <c r="AG43" s="279" t="s">
        <v>202</v>
      </c>
      <c r="AH43" s="298">
        <v>0</v>
      </c>
      <c r="AI43" s="299">
        <f t="shared" si="15"/>
        <v>0</v>
      </c>
      <c r="AJ43" s="269"/>
      <c r="AK43" s="269"/>
      <c r="AL43" s="269"/>
      <c r="AM43" s="269"/>
      <c r="AN43" s="269"/>
      <c r="AO43" s="269"/>
      <c r="AP43" s="269"/>
      <c r="AQ43" s="269"/>
      <c r="AR43" s="288"/>
      <c r="AS43" s="288"/>
      <c r="AT43" s="288"/>
      <c r="AU43" s="288"/>
      <c r="AV43" s="288"/>
      <c r="AW43" s="288"/>
      <c r="AX43" s="287"/>
    </row>
    <row r="44" spans="1:50" s="264" customFormat="1" ht="14.25" customHeight="1" x14ac:dyDescent="0.3">
      <c r="A44" s="347"/>
      <c r="B44" s="350"/>
      <c r="C44" s="268"/>
      <c r="D44" s="284" t="s">
        <v>128</v>
      </c>
      <c r="E44" s="290">
        <f>'Unit Fungsi'!E44</f>
        <v>3.6902147023324741E-3</v>
      </c>
      <c r="F44" s="18" t="s">
        <v>202</v>
      </c>
      <c r="G44" s="293"/>
      <c r="H44" s="293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82" t="s">
        <v>278</v>
      </c>
      <c r="AF44" s="291">
        <f>'Unit Fungsi'!V44</f>
        <v>6.0330372974536973E-8</v>
      </c>
      <c r="AG44" s="279" t="s">
        <v>202</v>
      </c>
      <c r="AH44" s="298">
        <v>6E-11</v>
      </c>
      <c r="AI44" s="299">
        <f t="shared" si="15"/>
        <v>3.6198223784722185E-18</v>
      </c>
      <c r="AJ44" s="269"/>
      <c r="AK44" s="269"/>
      <c r="AL44" s="269"/>
      <c r="AM44" s="269"/>
      <c r="AN44" s="269"/>
      <c r="AO44" s="269"/>
      <c r="AP44" s="269"/>
      <c r="AQ44" s="269"/>
      <c r="AR44" s="288"/>
      <c r="AS44" s="288"/>
      <c r="AT44" s="288"/>
      <c r="AU44" s="288"/>
      <c r="AV44" s="288"/>
      <c r="AW44" s="288"/>
      <c r="AX44" s="287"/>
    </row>
    <row r="45" spans="1:50" s="264" customFormat="1" ht="14.25" customHeight="1" x14ac:dyDescent="0.3">
      <c r="A45" s="347"/>
      <c r="B45" s="350"/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82" t="s">
        <v>279</v>
      </c>
      <c r="AF45" s="291">
        <f>'Unit Fungsi'!V45</f>
        <v>1.9306503372293343E-8</v>
      </c>
      <c r="AG45" s="279" t="s">
        <v>202</v>
      </c>
      <c r="AH45" s="298">
        <v>6.9999999999999998E-9</v>
      </c>
      <c r="AI45" s="299">
        <f t="shared" si="15"/>
        <v>1.351455236060534E-16</v>
      </c>
      <c r="AJ45" s="269"/>
      <c r="AK45" s="269"/>
      <c r="AL45" s="269"/>
      <c r="AM45" s="269"/>
      <c r="AN45" s="269"/>
      <c r="AO45" s="269"/>
      <c r="AP45" s="269"/>
      <c r="AQ45" s="269"/>
      <c r="AR45" s="288"/>
      <c r="AS45" s="288"/>
      <c r="AT45" s="288"/>
      <c r="AU45" s="288"/>
      <c r="AV45" s="288"/>
      <c r="AW45" s="288"/>
      <c r="AX45" s="287"/>
    </row>
    <row r="46" spans="1:50" s="264" customFormat="1" ht="14.25" customHeight="1" x14ac:dyDescent="0.3">
      <c r="A46" s="347"/>
      <c r="B46" s="350"/>
      <c r="C46" s="268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82" t="s">
        <v>280</v>
      </c>
      <c r="AF46" s="291">
        <f>'Unit Fungsi'!V46</f>
        <v>3.690214702332474E-6</v>
      </c>
      <c r="AG46" s="279" t="s">
        <v>202</v>
      </c>
      <c r="AH46" s="298">
        <v>3.9299999999999999E-7</v>
      </c>
      <c r="AI46" s="299">
        <f t="shared" si="15"/>
        <v>1.4502543780166622E-12</v>
      </c>
      <c r="AJ46" s="269"/>
      <c r="AK46" s="269"/>
      <c r="AL46" s="269"/>
      <c r="AM46" s="269"/>
      <c r="AN46" s="269"/>
      <c r="AO46" s="269"/>
      <c r="AP46" s="269"/>
      <c r="AQ46" s="269"/>
      <c r="AR46" s="288"/>
      <c r="AS46" s="288"/>
      <c r="AT46" s="288"/>
      <c r="AU46" s="288"/>
      <c r="AV46" s="288"/>
      <c r="AW46" s="288"/>
      <c r="AX46" s="287"/>
    </row>
    <row r="47" spans="1:50" s="264" customFormat="1" ht="14.25" customHeight="1" x14ac:dyDescent="0.3">
      <c r="A47" s="347"/>
      <c r="B47" s="350"/>
      <c r="C47" s="268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82" t="s">
        <v>281</v>
      </c>
      <c r="AF47" s="291">
        <f>'Unit Fungsi'!V47</f>
        <v>3.1188732785514542E-7</v>
      </c>
      <c r="AG47" s="279" t="s">
        <v>202</v>
      </c>
      <c r="AH47" s="298">
        <v>6E-9</v>
      </c>
      <c r="AI47" s="299">
        <f t="shared" si="15"/>
        <v>1.8713239671308725E-15</v>
      </c>
      <c r="AJ47" s="269"/>
      <c r="AK47" s="269"/>
      <c r="AL47" s="269"/>
      <c r="AM47" s="269"/>
      <c r="AN47" s="269"/>
      <c r="AO47" s="269"/>
      <c r="AP47" s="269"/>
      <c r="AQ47" s="269"/>
      <c r="AR47" s="288"/>
      <c r="AS47" s="288"/>
      <c r="AT47" s="288"/>
      <c r="AU47" s="288"/>
      <c r="AV47" s="288"/>
      <c r="AW47" s="288"/>
      <c r="AX47" s="287"/>
    </row>
    <row r="48" spans="1:50" s="264" customFormat="1" ht="14.25" customHeight="1" x14ac:dyDescent="0.3">
      <c r="A48" s="347"/>
      <c r="B48" s="350"/>
      <c r="C48" s="268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82" t="s">
        <v>282</v>
      </c>
      <c r="AF48" s="291">
        <f>'Unit Fungsi'!V48</f>
        <v>9.2318406988326563E-9</v>
      </c>
      <c r="AG48" s="279" t="s">
        <v>202</v>
      </c>
      <c r="AH48" s="298">
        <v>3E-9</v>
      </c>
      <c r="AI48" s="299">
        <f t="shared" si="15"/>
        <v>2.7695522096497968E-17</v>
      </c>
      <c r="AJ48" s="269"/>
      <c r="AK48" s="269"/>
      <c r="AL48" s="269"/>
      <c r="AM48" s="269"/>
      <c r="AN48" s="269"/>
      <c r="AO48" s="269"/>
      <c r="AP48" s="269"/>
      <c r="AQ48" s="269"/>
      <c r="AR48" s="288"/>
      <c r="AS48" s="288"/>
      <c r="AT48" s="288"/>
      <c r="AU48" s="288"/>
      <c r="AV48" s="288"/>
      <c r="AW48" s="288"/>
      <c r="AX48" s="287"/>
    </row>
    <row r="49" spans="1:50" s="264" customFormat="1" ht="14.25" customHeight="1" x14ac:dyDescent="0.3">
      <c r="A49" s="348"/>
      <c r="B49" s="351"/>
      <c r="C49" s="268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88"/>
      <c r="AS49" s="288"/>
      <c r="AT49" s="288"/>
      <c r="AU49" s="288"/>
      <c r="AV49" s="288"/>
      <c r="AW49" s="288"/>
      <c r="AX49" s="287"/>
    </row>
    <row r="50" spans="1:50" ht="14.25" customHeight="1" x14ac:dyDescent="0.3"/>
    <row r="51" spans="1:50" ht="14.25" customHeight="1" x14ac:dyDescent="0.35">
      <c r="B51" s="62" t="s">
        <v>94</v>
      </c>
      <c r="D51" s="63" t="s">
        <v>87</v>
      </c>
      <c r="E51" s="64">
        <f>SUM(H4,M4,AA4:AA6)</f>
        <v>3.7351710690850868E-8</v>
      </c>
      <c r="G51" s="381" t="s">
        <v>210</v>
      </c>
      <c r="H51" s="381"/>
      <c r="I51" s="381"/>
      <c r="J51" s="33"/>
    </row>
    <row r="52" spans="1:50" ht="14.25" customHeight="1" x14ac:dyDescent="0.35">
      <c r="B52" s="65">
        <f>SUM(H4,H8,H12,H18,H22,H26,H30,H39,M39,M40,AA39,AA40,AI40,AI41,AI42,AI43,AI44,AI45,AI46,AI47,AI48,AN39,M4,M8,M12,M18,M22,M26,M30,R12:R16,AA4:AA6,AA8:AA10,AA12:AA14,AA18:AA20,AA22:AA24,AA26:AA28,AA30:AA32)</f>
        <v>9.1205811129395481E-6</v>
      </c>
      <c r="D52" s="63" t="s">
        <v>88</v>
      </c>
      <c r="E52" s="64">
        <f>SUM(H8,M8,AA8:AA10)</f>
        <v>2.668387503132692E-7</v>
      </c>
      <c r="G52" s="195" t="s">
        <v>86</v>
      </c>
      <c r="H52" s="195" t="s">
        <v>211</v>
      </c>
      <c r="I52" s="195" t="s">
        <v>212</v>
      </c>
      <c r="J52" s="33"/>
    </row>
    <row r="53" spans="1:50" ht="14.25" customHeight="1" x14ac:dyDescent="0.35">
      <c r="B53" s="62" t="s">
        <v>95</v>
      </c>
      <c r="D53" s="63" t="s">
        <v>89</v>
      </c>
      <c r="E53" s="64">
        <f>SUM(H12,M12,R12:R16,AA12:AA14)</f>
        <v>6.4351832724315746E-8</v>
      </c>
      <c r="G53" s="198">
        <f>H4</f>
        <v>8.165650682395914E-13</v>
      </c>
      <c r="H53" s="203">
        <f>(G53/$G$90)*100%</f>
        <v>1.0174679419462376E-7</v>
      </c>
      <c r="I53" s="199"/>
      <c r="J53" s="33"/>
    </row>
    <row r="54" spans="1:50" ht="14.25" customHeight="1" x14ac:dyDescent="0.35">
      <c r="D54" s="63" t="s">
        <v>90</v>
      </c>
      <c r="E54" s="64">
        <f>SUM(H18,M18,AA18:AA20)</f>
        <v>6.6029326670675008E-6</v>
      </c>
      <c r="G54" s="198">
        <f>H8</f>
        <v>2.3850731484266368E-9</v>
      </c>
      <c r="H54" s="203">
        <f t="shared" ref="H54:H89" si="16">(G54/$G$90)*100%</f>
        <v>2.9718825383415079E-4</v>
      </c>
      <c r="I54" s="199"/>
    </row>
    <row r="55" spans="1:50" ht="14.25" customHeight="1" x14ac:dyDescent="0.35">
      <c r="D55" s="63" t="s">
        <v>52</v>
      </c>
      <c r="E55" s="64">
        <f>SUM(H22,M22,AA22:AA24)</f>
        <v>1.1146550870382666E-7</v>
      </c>
      <c r="G55" s="199">
        <f>H12</f>
        <v>0</v>
      </c>
      <c r="H55" s="203">
        <f t="shared" si="16"/>
        <v>0</v>
      </c>
      <c r="I55" s="199"/>
    </row>
    <row r="56" spans="1:50" ht="14.25" customHeight="1" x14ac:dyDescent="0.35">
      <c r="D56" s="63" t="s">
        <v>56</v>
      </c>
      <c r="E56" s="64">
        <f>SUM(H26,M26,AA26:AA28)</f>
        <v>2.6294524985725301E-7</v>
      </c>
      <c r="G56" s="199">
        <f>H18</f>
        <v>0</v>
      </c>
      <c r="H56" s="203">
        <f t="shared" si="16"/>
        <v>0</v>
      </c>
      <c r="I56" s="199"/>
    </row>
    <row r="57" spans="1:50" ht="14.25" customHeight="1" x14ac:dyDescent="0.35">
      <c r="D57" s="63" t="s">
        <v>91</v>
      </c>
      <c r="E57" s="64">
        <f>SUM(H30,M30,AA30:AA32)</f>
        <v>6.7962915224012558E-7</v>
      </c>
      <c r="G57" s="198">
        <f>M4</f>
        <v>3.3559096093724064E-8</v>
      </c>
      <c r="H57" s="203">
        <f t="shared" si="16"/>
        <v>4.181577900420147E-3</v>
      </c>
      <c r="I57" s="199"/>
    </row>
    <row r="58" spans="1:50" ht="14.25" customHeight="1" x14ac:dyDescent="0.35">
      <c r="D58" s="74" t="s">
        <v>272</v>
      </c>
      <c r="E58" s="303">
        <f>SUM(H39,M39,M40,AA39,AA40,AI40,AI41,AI42,AI43,AI44,AI45,AI46,AI47,AI48,AN39)</f>
        <v>1.095066241342406E-6</v>
      </c>
      <c r="G58" s="198">
        <f>M8</f>
        <v>2.3760679823157177E-7</v>
      </c>
      <c r="H58" s="203">
        <f t="shared" si="16"/>
        <v>2.9606617940479588E-2</v>
      </c>
      <c r="I58" s="199"/>
    </row>
    <row r="59" spans="1:50" ht="14.25" customHeight="1" x14ac:dyDescent="0.3">
      <c r="D59" s="302"/>
      <c r="E59" s="303">
        <f>SUM(E51:E58)</f>
        <v>9.1205811129395481E-6</v>
      </c>
      <c r="G59" s="198">
        <f>M12</f>
        <v>5.7818946205944897E-8</v>
      </c>
      <c r="H59" s="203">
        <f t="shared" si="16"/>
        <v>7.2044380160041039E-3</v>
      </c>
      <c r="I59" s="199"/>
    </row>
    <row r="60" spans="1:50" ht="14.25" customHeight="1" x14ac:dyDescent="0.35">
      <c r="G60" s="205">
        <f>M18</f>
        <v>5.9326143874437957E-6</v>
      </c>
      <c r="H60" s="206">
        <f t="shared" si="16"/>
        <v>0.73922399891124912</v>
      </c>
      <c r="I60" s="207" t="s">
        <v>246</v>
      </c>
      <c r="W60" s="66"/>
      <c r="X60" s="67"/>
      <c r="Y60" s="68"/>
      <c r="Z60" s="68"/>
      <c r="AA60" s="68"/>
      <c r="AB60" s="380"/>
      <c r="AC60" s="367"/>
      <c r="AD60" s="367"/>
    </row>
    <row r="61" spans="1:50" ht="14.25" customHeight="1" x14ac:dyDescent="0.3">
      <c r="G61" s="198">
        <f>M22</f>
        <v>1.0013400003091752E-7</v>
      </c>
      <c r="H61" s="203">
        <f t="shared" si="16"/>
        <v>1.2477038131198655E-2</v>
      </c>
      <c r="I61" s="199"/>
    </row>
    <row r="62" spans="1:50" ht="14.25" customHeight="1" x14ac:dyDescent="0.3">
      <c r="G62" s="198">
        <f>M26</f>
        <v>2.3623578041938811E-7</v>
      </c>
      <c r="H62" s="203">
        <f t="shared" si="16"/>
        <v>2.9435784442208408E-2</v>
      </c>
      <c r="I62" s="199"/>
    </row>
    <row r="63" spans="1:50" ht="14.25" customHeight="1" x14ac:dyDescent="0.3">
      <c r="G63" s="198">
        <f>M30</f>
        <v>6.1061865526259529E-7</v>
      </c>
      <c r="H63" s="209">
        <f t="shared" si="16"/>
        <v>7.60851683042751E-2</v>
      </c>
      <c r="I63" s="199"/>
    </row>
    <row r="64" spans="1:50" ht="14.25" customHeight="1" x14ac:dyDescent="0.3">
      <c r="G64" s="199">
        <f>R12</f>
        <v>0</v>
      </c>
      <c r="H64" s="203">
        <f t="shared" si="16"/>
        <v>0</v>
      </c>
      <c r="I64" s="199"/>
    </row>
    <row r="65" spans="7:9" ht="14.25" customHeight="1" x14ac:dyDescent="0.3">
      <c r="G65" s="199">
        <f t="shared" ref="G65:G68" si="17">R13</f>
        <v>0</v>
      </c>
      <c r="H65" s="203">
        <f t="shared" si="16"/>
        <v>0</v>
      </c>
      <c r="I65" s="199"/>
    </row>
    <row r="66" spans="7:9" ht="14.25" customHeight="1" x14ac:dyDescent="0.3">
      <c r="G66" s="199">
        <f t="shared" si="17"/>
        <v>0</v>
      </c>
      <c r="H66" s="203">
        <f t="shared" si="16"/>
        <v>0</v>
      </c>
      <c r="I66" s="199"/>
    </row>
    <row r="67" spans="7:9" ht="14.25" customHeight="1" x14ac:dyDescent="0.3">
      <c r="G67" s="199">
        <f t="shared" si="17"/>
        <v>0</v>
      </c>
      <c r="H67" s="203">
        <f t="shared" si="16"/>
        <v>0</v>
      </c>
      <c r="I67" s="199"/>
    </row>
    <row r="68" spans="7:9" ht="14.25" customHeight="1" x14ac:dyDescent="0.3">
      <c r="G68" s="199">
        <f t="shared" si="17"/>
        <v>0</v>
      </c>
      <c r="H68" s="203">
        <f t="shared" si="16"/>
        <v>0</v>
      </c>
      <c r="I68" s="199"/>
    </row>
    <row r="69" spans="7:9" ht="14.25" customHeight="1" x14ac:dyDescent="0.3">
      <c r="G69" s="198">
        <f>AA4</f>
        <v>4.1133802683910464E-12</v>
      </c>
      <c r="H69" s="203">
        <f t="shared" si="16"/>
        <v>5.1254121917619131E-7</v>
      </c>
      <c r="I69" s="199"/>
    </row>
    <row r="70" spans="7:9" ht="14.25" customHeight="1" x14ac:dyDescent="0.3">
      <c r="G70" s="198">
        <f t="shared" ref="G70:G71" si="18">AA5</f>
        <v>2.0742574483221905E-10</v>
      </c>
      <c r="H70" s="203">
        <f t="shared" si="16"/>
        <v>2.5845955688025913E-5</v>
      </c>
      <c r="I70" s="199"/>
    </row>
    <row r="71" spans="7:9" ht="14.25" customHeight="1" x14ac:dyDescent="0.3">
      <c r="G71" s="198">
        <f t="shared" si="18"/>
        <v>3.5802589069579557E-9</v>
      </c>
      <c r="H71" s="203">
        <f t="shared" si="16"/>
        <v>4.4611247815812152E-4</v>
      </c>
      <c r="I71" s="199"/>
    </row>
    <row r="72" spans="7:9" ht="14.25" customHeight="1" x14ac:dyDescent="0.3">
      <c r="G72" s="198">
        <f>AA8</f>
        <v>2.9123761639816603E-11</v>
      </c>
      <c r="H72" s="203">
        <f t="shared" si="16"/>
        <v>3.6289200909954182E-6</v>
      </c>
      <c r="I72" s="199"/>
    </row>
    <row r="73" spans="7:9" ht="14.25" customHeight="1" x14ac:dyDescent="0.3">
      <c r="G73" s="198">
        <f>AA9</f>
        <v>1.4686261800001095E-9</v>
      </c>
      <c r="H73" s="203">
        <f t="shared" si="16"/>
        <v>1.8299583400922971E-4</v>
      </c>
      <c r="I73" s="199"/>
    </row>
    <row r="74" spans="7:9" ht="14.25" customHeight="1" x14ac:dyDescent="0.3">
      <c r="G74" s="198">
        <f>AA10</f>
        <v>2.534912899163086E-8</v>
      </c>
      <c r="H74" s="203">
        <f t="shared" si="16"/>
        <v>3.1585879813409616E-3</v>
      </c>
      <c r="I74" s="199"/>
    </row>
    <row r="75" spans="7:9" ht="14.25" customHeight="1" x14ac:dyDescent="0.3">
      <c r="G75" s="198">
        <f>AA12</f>
        <v>7.0869403573469401E-12</v>
      </c>
      <c r="H75" s="203">
        <f t="shared" si="16"/>
        <v>8.830569541299306E-7</v>
      </c>
      <c r="I75" s="199"/>
    </row>
    <row r="76" spans="7:9" ht="14.25" customHeight="1" x14ac:dyDescent="0.3">
      <c r="G76" s="198">
        <f>AA13</f>
        <v>3.5737368934752032E-10</v>
      </c>
      <c r="H76" s="203">
        <f t="shared" si="16"/>
        <v>4.4529981302049229E-5</v>
      </c>
      <c r="I76" s="199"/>
    </row>
    <row r="77" spans="7:9" ht="14.25" customHeight="1" x14ac:dyDescent="0.3">
      <c r="G77" s="198">
        <f>AA14</f>
        <v>6.1684258886659873E-9</v>
      </c>
      <c r="H77" s="203">
        <f t="shared" si="16"/>
        <v>7.68606916717549E-4</v>
      </c>
      <c r="I77" s="199"/>
    </row>
    <row r="78" spans="7:9" ht="14.25" customHeight="1" x14ac:dyDescent="0.3">
      <c r="G78" s="198">
        <f>AA18</f>
        <v>7.2716794555881399E-10</v>
      </c>
      <c r="H78" s="203">
        <f t="shared" si="16"/>
        <v>9.0607607622998664E-5</v>
      </c>
      <c r="I78" s="199"/>
    </row>
    <row r="79" spans="7:9" ht="14.25" customHeight="1" x14ac:dyDescent="0.3">
      <c r="G79" s="198">
        <f>AA19</f>
        <v>3.6668954213817467E-8</v>
      </c>
      <c r="H79" s="203">
        <f t="shared" si="16"/>
        <v>4.5690768351979707E-3</v>
      </c>
      <c r="I79" s="199"/>
    </row>
    <row r="80" spans="7:9" ht="14.25" customHeight="1" x14ac:dyDescent="0.3">
      <c r="G80" s="205">
        <f>AA20</f>
        <v>6.3292215746432887E-7</v>
      </c>
      <c r="H80" s="210">
        <f t="shared" si="16"/>
        <v>7.8864260793782962E-2</v>
      </c>
      <c r="I80" s="207" t="s">
        <v>245</v>
      </c>
    </row>
    <row r="81" spans="7:9" ht="14.25" customHeight="1" x14ac:dyDescent="0.3">
      <c r="G81" s="198">
        <f>AA22</f>
        <v>1.2273549286664863E-11</v>
      </c>
      <c r="H81" s="203">
        <f t="shared" si="16"/>
        <v>1.529326127065538E-6</v>
      </c>
      <c r="I81" s="199"/>
    </row>
    <row r="82" spans="7:9" ht="14.25" customHeight="1" x14ac:dyDescent="0.3">
      <c r="G82" s="198">
        <f>AA23</f>
        <v>6.189192188441216E-10</v>
      </c>
      <c r="H82" s="203">
        <f t="shared" si="16"/>
        <v>7.7119446853870304E-5</v>
      </c>
      <c r="I82" s="199"/>
    </row>
    <row r="83" spans="7:9" ht="14.25" customHeight="1" x14ac:dyDescent="0.3">
      <c r="G83" s="198">
        <f>AA24</f>
        <v>1.0682815904778357E-8</v>
      </c>
      <c r="H83" s="203">
        <f t="shared" si="16"/>
        <v>1.3311153189859612E-3</v>
      </c>
      <c r="I83" s="199"/>
    </row>
    <row r="84" spans="7:9" ht="14.25" customHeight="1" x14ac:dyDescent="0.3">
      <c r="G84" s="198">
        <f>AA26</f>
        <v>2.895571427642818E-11</v>
      </c>
      <c r="H84" s="203">
        <f t="shared" si="16"/>
        <v>3.6079808160219092E-6</v>
      </c>
      <c r="I84" s="199"/>
    </row>
    <row r="85" spans="7:9" ht="14.25" customHeight="1" x14ac:dyDescent="0.3">
      <c r="G85" s="198">
        <f>AA27</f>
        <v>1.4601520426134465E-9</v>
      </c>
      <c r="H85" s="203">
        <f t="shared" si="16"/>
        <v>1.8193992757115909E-4</v>
      </c>
      <c r="I85" s="199"/>
    </row>
    <row r="86" spans="7:9" ht="14.25" customHeight="1" x14ac:dyDescent="0.3">
      <c r="G86" s="198">
        <f>AA28</f>
        <v>2.5202861680975062E-8</v>
      </c>
      <c r="H86" s="203">
        <f t="shared" si="16"/>
        <v>3.1403625752667334E-3</v>
      </c>
      <c r="I86" s="199"/>
    </row>
    <row r="87" spans="7:9" ht="14.25" customHeight="1" x14ac:dyDescent="0.3">
      <c r="G87" s="198">
        <f>AA30</f>
        <v>7.4844290235169741E-11</v>
      </c>
      <c r="H87" s="203">
        <f t="shared" si="16"/>
        <v>9.3258539844446422E-6</v>
      </c>
      <c r="I87" s="199"/>
    </row>
    <row r="88" spans="7:9" ht="14.25" customHeight="1" x14ac:dyDescent="0.3">
      <c r="G88" s="198">
        <f>AA31</f>
        <v>3.774178810494789E-9</v>
      </c>
      <c r="H88" s="203">
        <f t="shared" si="16"/>
        <v>4.7027555992935178E-4</v>
      </c>
      <c r="I88" s="199"/>
    </row>
    <row r="89" spans="7:9" ht="14.25" customHeight="1" x14ac:dyDescent="0.3">
      <c r="G89" s="198">
        <f>AA32</f>
        <v>6.514397387680045E-8</v>
      </c>
      <c r="H89" s="203">
        <f t="shared" si="16"/>
        <v>8.1171614619178888E-3</v>
      </c>
      <c r="I89" s="199"/>
    </row>
    <row r="90" spans="7:9" ht="14.25" customHeight="1" x14ac:dyDescent="0.3">
      <c r="G90" s="208">
        <f>SUM(G53:G89)</f>
        <v>8.0254623715971409E-6</v>
      </c>
      <c r="H90" s="204">
        <f>SUM(H53:H89)</f>
        <v>1</v>
      </c>
      <c r="I90" s="186"/>
    </row>
    <row r="91" spans="7:9" ht="14.25" customHeight="1" x14ac:dyDescent="0.3"/>
    <row r="92" spans="7:9" ht="14.25" customHeight="1" x14ac:dyDescent="0.3"/>
    <row r="93" spans="7:9" ht="14.25" customHeight="1" x14ac:dyDescent="0.3"/>
    <row r="94" spans="7:9" ht="14.25" customHeight="1" x14ac:dyDescent="0.3"/>
    <row r="95" spans="7:9" ht="14.25" customHeight="1" x14ac:dyDescent="0.3"/>
    <row r="96" spans="7:9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</sheetData>
  <mergeCells count="63">
    <mergeCell ref="C1:C3"/>
    <mergeCell ref="F2:F3"/>
    <mergeCell ref="A4:A7"/>
    <mergeCell ref="B4:B7"/>
    <mergeCell ref="AP2:AP3"/>
    <mergeCell ref="E2:E3"/>
    <mergeCell ref="B1:B3"/>
    <mergeCell ref="AQ2:AQ3"/>
    <mergeCell ref="W1:AQ1"/>
    <mergeCell ref="K2:K3"/>
    <mergeCell ref="L2:L3"/>
    <mergeCell ref="M2:M3"/>
    <mergeCell ref="N2:N3"/>
    <mergeCell ref="O2:O3"/>
    <mergeCell ref="P2:P3"/>
    <mergeCell ref="Q2:Q3"/>
    <mergeCell ref="AF2:AF3"/>
    <mergeCell ref="AG2:AG3"/>
    <mergeCell ref="AH2:AH3"/>
    <mergeCell ref="AI2:AI3"/>
    <mergeCell ref="AM2:AM3"/>
    <mergeCell ref="AN2:AN3"/>
    <mergeCell ref="AR1:AR3"/>
    <mergeCell ref="D2:D3"/>
    <mergeCell ref="X2:X3"/>
    <mergeCell ref="Y2:Y3"/>
    <mergeCell ref="Z2:Z3"/>
    <mergeCell ref="AA2:AA3"/>
    <mergeCell ref="AB2:AB3"/>
    <mergeCell ref="AC2:AC3"/>
    <mergeCell ref="AJ2:AJ3"/>
    <mergeCell ref="AK2:AK3"/>
    <mergeCell ref="AL2:AL3"/>
    <mergeCell ref="AO2:AO3"/>
    <mergeCell ref="G2:G3"/>
    <mergeCell ref="H2:H3"/>
    <mergeCell ref="D1:V1"/>
    <mergeCell ref="U2:U3"/>
    <mergeCell ref="AB60:AD60"/>
    <mergeCell ref="AD2:AD3"/>
    <mergeCell ref="AE2:AE3"/>
    <mergeCell ref="I2:I3"/>
    <mergeCell ref="J2:J3"/>
    <mergeCell ref="S2:T2"/>
    <mergeCell ref="W2:W3"/>
    <mergeCell ref="G51:I51"/>
    <mergeCell ref="R2:R3"/>
    <mergeCell ref="V2:V3"/>
    <mergeCell ref="A39:A49"/>
    <mergeCell ref="B39:B49"/>
    <mergeCell ref="A1:A3"/>
    <mergeCell ref="A8:A11"/>
    <mergeCell ref="B8:B11"/>
    <mergeCell ref="B12:B17"/>
    <mergeCell ref="B18:B21"/>
    <mergeCell ref="A22:A25"/>
    <mergeCell ref="B22:B25"/>
    <mergeCell ref="A30:A38"/>
    <mergeCell ref="B30:B38"/>
    <mergeCell ref="A12:A17"/>
    <mergeCell ref="A18:A21"/>
    <mergeCell ref="A26:A29"/>
    <mergeCell ref="B26:B29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FF00"/>
  </sheetPr>
  <dimension ref="A1:AX1015"/>
  <sheetViews>
    <sheetView topLeftCell="A34" zoomScale="85" zoomScaleNormal="85" workbookViewId="0">
      <selection activeCell="E52" sqref="E52"/>
    </sheetView>
  </sheetViews>
  <sheetFormatPr defaultColWidth="12.58203125" defaultRowHeight="15" customHeight="1" x14ac:dyDescent="0.3"/>
  <cols>
    <col min="1" max="1" width="4.5" customWidth="1"/>
    <col min="2" max="2" width="25.25" customWidth="1"/>
    <col min="3" max="3" width="20.83203125" hidden="1" customWidth="1"/>
    <col min="4" max="4" width="23.25" customWidth="1"/>
    <col min="5" max="5" width="12.08203125" customWidth="1"/>
    <col min="6" max="6" width="9.83203125" customWidth="1"/>
    <col min="7" max="7" width="9.75" customWidth="1"/>
    <col min="8" max="8" width="13.33203125" customWidth="1"/>
    <col min="9" max="9" width="13.25" customWidth="1"/>
    <col min="10" max="10" width="12.08203125" customWidth="1"/>
    <col min="11" max="11" width="7.58203125" customWidth="1"/>
    <col min="12" max="12" width="11" customWidth="1"/>
    <col min="13" max="13" width="14.58203125" customWidth="1"/>
    <col min="14" max="14" width="16.83203125" customWidth="1"/>
    <col min="15" max="15" width="11.58203125" customWidth="1"/>
    <col min="16" max="16" width="9.08203125" customWidth="1"/>
    <col min="17" max="17" width="9.25" customWidth="1"/>
    <col min="18" max="18" width="14.25" customWidth="1"/>
    <col min="19" max="19" width="9.08203125" bestFit="1" customWidth="1"/>
    <col min="20" max="20" width="7.58203125" customWidth="1"/>
    <col min="21" max="21" width="7.58203125" style="264" customWidth="1"/>
    <col min="22" max="22" width="14.83203125" style="264" customWidth="1"/>
    <col min="23" max="23" width="11.58203125" customWidth="1"/>
    <col min="24" max="24" width="13.58203125" customWidth="1"/>
    <col min="25" max="25" width="10.83203125" customWidth="1"/>
    <col min="26" max="26" width="11.58203125" customWidth="1"/>
    <col min="27" max="27" width="13.83203125" customWidth="1"/>
    <col min="28" max="28" width="22.58203125" customWidth="1"/>
    <col min="29" max="29" width="14.08203125" customWidth="1"/>
    <col min="30" max="30" width="7.58203125" customWidth="1"/>
    <col min="31" max="31" width="10" customWidth="1"/>
    <col min="32" max="32" width="8.58203125" bestFit="1" customWidth="1"/>
    <col min="33" max="33" width="7.58203125" customWidth="1"/>
    <col min="34" max="34" width="9.08203125" style="264" bestFit="1" customWidth="1"/>
    <col min="35" max="35" width="13.33203125" style="264" customWidth="1"/>
    <col min="36" max="36" width="10.83203125" customWidth="1"/>
    <col min="37" max="37" width="9.08203125" bestFit="1" customWidth="1"/>
    <col min="38" max="38" width="7.58203125" customWidth="1"/>
    <col min="39" max="39" width="8.58203125" style="264" bestFit="1" customWidth="1"/>
    <col min="40" max="40" width="15.25" style="264" customWidth="1"/>
    <col min="41" max="41" width="14.33203125" customWidth="1"/>
    <col min="42" max="43" width="7.58203125" customWidth="1"/>
    <col min="44" max="44" width="22" customWidth="1"/>
  </cols>
  <sheetData>
    <row r="1" spans="1:44" ht="14.25" customHeight="1" x14ac:dyDescent="0.3">
      <c r="A1" s="352" t="s">
        <v>0</v>
      </c>
      <c r="B1" s="352" t="s">
        <v>1</v>
      </c>
      <c r="C1" s="355" t="s">
        <v>2</v>
      </c>
      <c r="D1" s="382" t="s">
        <v>3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4"/>
      <c r="W1" s="377" t="s">
        <v>4</v>
      </c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2"/>
      <c r="AR1" s="374" t="s">
        <v>5</v>
      </c>
    </row>
    <row r="2" spans="1:44" ht="40.5" customHeight="1" x14ac:dyDescent="0.3">
      <c r="A2" s="353"/>
      <c r="B2" s="353"/>
      <c r="C2" s="353"/>
      <c r="D2" s="375" t="s">
        <v>6</v>
      </c>
      <c r="E2" s="375" t="s">
        <v>7</v>
      </c>
      <c r="F2" s="375" t="s">
        <v>8</v>
      </c>
      <c r="G2" s="375" t="s">
        <v>85</v>
      </c>
      <c r="H2" s="375" t="s">
        <v>86</v>
      </c>
      <c r="I2" s="375" t="s">
        <v>9</v>
      </c>
      <c r="J2" s="375" t="s">
        <v>7</v>
      </c>
      <c r="K2" s="375" t="s">
        <v>8</v>
      </c>
      <c r="L2" s="375" t="s">
        <v>85</v>
      </c>
      <c r="M2" s="375" t="s">
        <v>86</v>
      </c>
      <c r="N2" s="375" t="s">
        <v>10</v>
      </c>
      <c r="O2" s="375" t="s">
        <v>7</v>
      </c>
      <c r="P2" s="375" t="s">
        <v>8</v>
      </c>
      <c r="Q2" s="375" t="s">
        <v>85</v>
      </c>
      <c r="R2" s="375" t="s">
        <v>86</v>
      </c>
      <c r="S2" s="373" t="s">
        <v>11</v>
      </c>
      <c r="T2" s="372"/>
      <c r="U2" s="375" t="s">
        <v>85</v>
      </c>
      <c r="V2" s="375" t="s">
        <v>86</v>
      </c>
      <c r="W2" s="362" t="s">
        <v>12</v>
      </c>
      <c r="X2" s="362" t="s">
        <v>7</v>
      </c>
      <c r="Y2" s="362" t="s">
        <v>8</v>
      </c>
      <c r="Z2" s="362" t="s">
        <v>85</v>
      </c>
      <c r="AA2" s="362" t="s">
        <v>86</v>
      </c>
      <c r="AB2" s="362" t="s">
        <v>13</v>
      </c>
      <c r="AC2" s="362" t="s">
        <v>7</v>
      </c>
      <c r="AD2" s="362" t="s">
        <v>8</v>
      </c>
      <c r="AE2" s="362" t="s">
        <v>14</v>
      </c>
      <c r="AF2" s="362" t="s">
        <v>7</v>
      </c>
      <c r="AG2" s="362" t="s">
        <v>8</v>
      </c>
      <c r="AH2" s="362" t="s">
        <v>85</v>
      </c>
      <c r="AI2" s="362" t="s">
        <v>86</v>
      </c>
      <c r="AJ2" s="362" t="s">
        <v>15</v>
      </c>
      <c r="AK2" s="362" t="s">
        <v>7</v>
      </c>
      <c r="AL2" s="362" t="s">
        <v>8</v>
      </c>
      <c r="AM2" s="362" t="s">
        <v>85</v>
      </c>
      <c r="AN2" s="362" t="s">
        <v>86</v>
      </c>
      <c r="AO2" s="362" t="s">
        <v>16</v>
      </c>
      <c r="AP2" s="362" t="s">
        <v>7</v>
      </c>
      <c r="AQ2" s="362" t="s">
        <v>8</v>
      </c>
      <c r="AR2" s="353"/>
    </row>
    <row r="3" spans="1:44" ht="14.25" customHeight="1" x14ac:dyDescent="0.3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1" t="s">
        <v>17</v>
      </c>
      <c r="T3" s="1" t="s">
        <v>8</v>
      </c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</row>
    <row r="4" spans="1:44" ht="14.25" customHeight="1" x14ac:dyDescent="0.3">
      <c r="A4" s="378">
        <v>1</v>
      </c>
      <c r="B4" s="358" t="s">
        <v>18</v>
      </c>
      <c r="C4" s="2" t="s">
        <v>19</v>
      </c>
      <c r="D4" s="3" t="s">
        <v>20</v>
      </c>
      <c r="E4" s="42">
        <f>'Unit Fungsi'!E4</f>
        <v>9.0327994274291078E-5</v>
      </c>
      <c r="F4" s="61" t="s">
        <v>199</v>
      </c>
      <c r="G4" s="51">
        <f>CF!H3</f>
        <v>2.22E-4</v>
      </c>
      <c r="H4" s="70">
        <f>E4*G4</f>
        <v>2.0052814728892618E-8</v>
      </c>
      <c r="I4" s="5" t="s">
        <v>22</v>
      </c>
      <c r="J4" s="43">
        <f>'Unit Fungsi'!H4</f>
        <v>5.2029606346859013E-2</v>
      </c>
      <c r="K4" s="18" t="s">
        <v>203</v>
      </c>
      <c r="L4" s="44">
        <f>CF!H7</f>
        <v>5.1500000000000001E-3</v>
      </c>
      <c r="M4" s="52">
        <f>J4*L4</f>
        <v>2.6795247268632391E-4</v>
      </c>
      <c r="N4" s="7"/>
      <c r="O4" s="7"/>
      <c r="P4" s="7"/>
      <c r="Q4" s="7"/>
      <c r="R4" s="7"/>
      <c r="S4" s="7"/>
      <c r="T4" s="7"/>
      <c r="U4" s="24"/>
      <c r="V4" s="24"/>
      <c r="W4" s="8" t="s">
        <v>24</v>
      </c>
      <c r="X4" s="44">
        <f>'Unit Fungsi'!P4</f>
        <v>2.6537937215426107E-4</v>
      </c>
      <c r="Y4" s="20" t="s">
        <v>205</v>
      </c>
      <c r="Z4" s="53">
        <f>CF!H21</f>
        <v>3.6900000000000002E-2</v>
      </c>
      <c r="AA4" s="54">
        <f t="shared" ref="AA4:AA6" si="0">X4*Z4</f>
        <v>9.7924988324922336E-6</v>
      </c>
      <c r="AB4" s="10" t="s">
        <v>26</v>
      </c>
      <c r="AC4" s="42">
        <f>'Unit Fungsi'!S4</f>
        <v>6.4818322919460664E-5</v>
      </c>
      <c r="AD4" s="11" t="s">
        <v>27</v>
      </c>
      <c r="AE4" s="12"/>
      <c r="AF4" s="12"/>
      <c r="AG4" s="12"/>
      <c r="AH4" s="12"/>
      <c r="AI4" s="12"/>
      <c r="AJ4" s="13"/>
      <c r="AK4" s="13"/>
      <c r="AL4" s="13"/>
      <c r="AM4" s="13"/>
      <c r="AN4" s="13"/>
      <c r="AO4" s="13"/>
      <c r="AP4" s="13"/>
      <c r="AQ4" s="13"/>
      <c r="AR4" s="14"/>
    </row>
    <row r="5" spans="1:44" ht="14.25" customHeight="1" x14ac:dyDescent="0.3">
      <c r="A5" s="353"/>
      <c r="B5" s="353"/>
      <c r="C5" s="15" t="s">
        <v>28</v>
      </c>
      <c r="D5" s="7"/>
      <c r="E5" s="45"/>
      <c r="F5" s="25"/>
      <c r="G5" s="16"/>
      <c r="H5" s="16"/>
      <c r="I5" s="7"/>
      <c r="J5" s="45"/>
      <c r="K5" s="25"/>
      <c r="L5" s="16"/>
      <c r="M5" s="16"/>
      <c r="N5" s="7"/>
      <c r="O5" s="7"/>
      <c r="P5" s="7"/>
      <c r="Q5" s="7"/>
      <c r="R5" s="7"/>
      <c r="S5" s="7"/>
      <c r="T5" s="7"/>
      <c r="U5" s="24"/>
      <c r="V5" s="24"/>
      <c r="W5" s="17" t="s">
        <v>29</v>
      </c>
      <c r="X5" s="44">
        <f>'Unit Fungsi'!P5</f>
        <v>4.0355203274750791E-3</v>
      </c>
      <c r="Y5" s="18" t="s">
        <v>206</v>
      </c>
      <c r="Z5" s="55">
        <f>CF!H22</f>
        <v>8.77E-3</v>
      </c>
      <c r="AA5" s="56">
        <f t="shared" si="0"/>
        <v>3.5391513271956445E-5</v>
      </c>
      <c r="AB5" s="7"/>
      <c r="AC5" s="16"/>
      <c r="AD5" s="7"/>
      <c r="AE5" s="7"/>
      <c r="AF5" s="7"/>
      <c r="AG5" s="7"/>
      <c r="AH5" s="24"/>
      <c r="AI5" s="24"/>
      <c r="AJ5" s="13"/>
      <c r="AK5" s="13"/>
      <c r="AL5" s="13"/>
      <c r="AM5" s="13"/>
      <c r="AN5" s="13"/>
      <c r="AO5" s="13"/>
      <c r="AP5" s="13"/>
      <c r="AQ5" s="13"/>
      <c r="AR5" s="14"/>
    </row>
    <row r="6" spans="1:44" ht="14.25" customHeight="1" x14ac:dyDescent="0.3">
      <c r="A6" s="353"/>
      <c r="B6" s="353"/>
      <c r="C6" s="15"/>
      <c r="D6" s="7"/>
      <c r="E6" s="45"/>
      <c r="F6" s="25"/>
      <c r="G6" s="16"/>
      <c r="H6" s="16"/>
      <c r="I6" s="7"/>
      <c r="J6" s="45"/>
      <c r="K6" s="25"/>
      <c r="L6" s="16"/>
      <c r="M6" s="16"/>
      <c r="N6" s="7"/>
      <c r="O6" s="7"/>
      <c r="P6" s="7"/>
      <c r="Q6" s="7"/>
      <c r="R6" s="7"/>
      <c r="S6" s="7"/>
      <c r="T6" s="7"/>
      <c r="U6" s="24"/>
      <c r="V6" s="24"/>
      <c r="W6" s="17" t="s">
        <v>31</v>
      </c>
      <c r="X6" s="44">
        <f>'Unit Fungsi'!P6</f>
        <v>0.15772065669418306</v>
      </c>
      <c r="Y6" s="18" t="s">
        <v>207</v>
      </c>
      <c r="Z6" s="55">
        <f>CF!H23</f>
        <v>2.2899999999999999E-3</v>
      </c>
      <c r="AA6" s="56">
        <f t="shared" si="0"/>
        <v>3.611803038296792E-4</v>
      </c>
      <c r="AB6" s="7"/>
      <c r="AC6" s="16"/>
      <c r="AD6" s="7"/>
      <c r="AE6" s="7"/>
      <c r="AF6" s="7"/>
      <c r="AG6" s="7"/>
      <c r="AH6" s="24"/>
      <c r="AI6" s="24"/>
      <c r="AJ6" s="13"/>
      <c r="AK6" s="13"/>
      <c r="AL6" s="13"/>
      <c r="AM6" s="13"/>
      <c r="AN6" s="13"/>
      <c r="AO6" s="13"/>
      <c r="AP6" s="13"/>
      <c r="AQ6" s="13"/>
      <c r="AR6" s="14"/>
    </row>
    <row r="7" spans="1:44" ht="14.25" customHeight="1" x14ac:dyDescent="0.3">
      <c r="A7" s="354"/>
      <c r="B7" s="354"/>
      <c r="C7" s="15"/>
      <c r="D7" s="7"/>
      <c r="E7" s="45"/>
      <c r="F7" s="25"/>
      <c r="G7" s="16"/>
      <c r="H7" s="16"/>
      <c r="I7" s="7"/>
      <c r="J7" s="45"/>
      <c r="K7" s="25"/>
      <c r="L7" s="16"/>
      <c r="M7" s="16"/>
      <c r="N7" s="7"/>
      <c r="O7" s="7"/>
      <c r="P7" s="7"/>
      <c r="Q7" s="7"/>
      <c r="R7" s="7"/>
      <c r="S7" s="7"/>
      <c r="T7" s="7"/>
      <c r="U7" s="24"/>
      <c r="V7" s="24"/>
      <c r="W7" s="7"/>
      <c r="X7" s="46"/>
      <c r="Y7" s="25"/>
      <c r="Z7" s="16"/>
      <c r="AA7" s="16"/>
      <c r="AB7" s="7"/>
      <c r="AC7" s="16"/>
      <c r="AD7" s="7"/>
      <c r="AE7" s="7"/>
      <c r="AF7" s="7"/>
      <c r="AG7" s="7"/>
      <c r="AH7" s="24"/>
      <c r="AI7" s="24"/>
      <c r="AJ7" s="13"/>
      <c r="AK7" s="13"/>
      <c r="AL7" s="13"/>
      <c r="AM7" s="13"/>
      <c r="AN7" s="13"/>
      <c r="AO7" s="13"/>
      <c r="AP7" s="13"/>
      <c r="AQ7" s="13"/>
      <c r="AR7" s="14"/>
    </row>
    <row r="8" spans="1:44" ht="14.25" customHeight="1" x14ac:dyDescent="0.3">
      <c r="A8" s="356">
        <v>2</v>
      </c>
      <c r="B8" s="379" t="s">
        <v>33</v>
      </c>
      <c r="C8" s="2" t="s">
        <v>19</v>
      </c>
      <c r="D8" s="5" t="s">
        <v>34</v>
      </c>
      <c r="E8" s="43">
        <f>'Unit Fungsi'!E8</f>
        <v>0.26383552526843329</v>
      </c>
      <c r="F8" s="18" t="s">
        <v>200</v>
      </c>
      <c r="G8" s="55">
        <f>CF!H4</f>
        <v>2.22E-4</v>
      </c>
      <c r="H8" s="73">
        <f>E8*G8</f>
        <v>5.8571486609592192E-5</v>
      </c>
      <c r="I8" s="5" t="s">
        <v>22</v>
      </c>
      <c r="J8" s="43">
        <f>'Unit Fungsi'!H8</f>
        <v>0.36838263291716555</v>
      </c>
      <c r="K8" s="18" t="s">
        <v>203</v>
      </c>
      <c r="L8" s="44">
        <f>L4</f>
        <v>5.1500000000000001E-3</v>
      </c>
      <c r="M8" s="52">
        <f>J8*L8</f>
        <v>1.8971705595234025E-3</v>
      </c>
      <c r="N8" s="7"/>
      <c r="O8" s="7"/>
      <c r="P8" s="7"/>
      <c r="Q8" s="7"/>
      <c r="R8" s="7"/>
      <c r="S8" s="7"/>
      <c r="T8" s="7"/>
      <c r="U8" s="24"/>
      <c r="V8" s="24"/>
      <c r="W8" s="8" t="s">
        <v>24</v>
      </c>
      <c r="X8" s="44">
        <f>'Unit Fungsi'!P8</f>
        <v>1.8789523638591357E-3</v>
      </c>
      <c r="Y8" s="20" t="s">
        <v>205</v>
      </c>
      <c r="Z8" s="53">
        <f t="shared" ref="Z8:Z10" si="1">Z4</f>
        <v>3.6900000000000002E-2</v>
      </c>
      <c r="AA8" s="54">
        <f t="shared" ref="AA8:AA10" si="2">X8*Z8</f>
        <v>6.9333342226402106E-5</v>
      </c>
      <c r="AB8" s="19" t="s">
        <v>34</v>
      </c>
      <c r="AC8" s="43">
        <f>'Unit Fungsi'!S8</f>
        <v>0.26383552526843329</v>
      </c>
      <c r="AD8" s="20" t="s">
        <v>35</v>
      </c>
      <c r="AE8" s="7"/>
      <c r="AF8" s="7"/>
      <c r="AG8" s="7"/>
      <c r="AH8" s="24"/>
      <c r="AI8" s="24"/>
      <c r="AJ8" s="13"/>
      <c r="AK8" s="13"/>
      <c r="AL8" s="13"/>
      <c r="AM8" s="13"/>
      <c r="AN8" s="13"/>
      <c r="AO8" s="13"/>
      <c r="AP8" s="13"/>
      <c r="AQ8" s="13"/>
      <c r="AR8" s="14"/>
    </row>
    <row r="9" spans="1:44" ht="14.25" customHeight="1" x14ac:dyDescent="0.3">
      <c r="A9" s="353"/>
      <c r="B9" s="353"/>
      <c r="C9" s="2" t="s">
        <v>36</v>
      </c>
      <c r="D9" s="7"/>
      <c r="E9" s="45"/>
      <c r="F9" s="25"/>
      <c r="G9" s="16"/>
      <c r="H9" s="16"/>
      <c r="I9" s="7"/>
      <c r="J9" s="45"/>
      <c r="K9" s="25"/>
      <c r="L9" s="16"/>
      <c r="M9" s="16"/>
      <c r="N9" s="7"/>
      <c r="O9" s="7"/>
      <c r="P9" s="7"/>
      <c r="Q9" s="7"/>
      <c r="R9" s="7"/>
      <c r="S9" s="7"/>
      <c r="T9" s="7"/>
      <c r="U9" s="24"/>
      <c r="V9" s="24"/>
      <c r="W9" s="17" t="s">
        <v>29</v>
      </c>
      <c r="X9" s="44">
        <f>'Unit Fungsi'!P9</f>
        <v>2.8572493774321198E-2</v>
      </c>
      <c r="Y9" s="18" t="s">
        <v>206</v>
      </c>
      <c r="Z9" s="55">
        <f t="shared" si="1"/>
        <v>8.77E-3</v>
      </c>
      <c r="AA9" s="56">
        <f t="shared" si="2"/>
        <v>2.505807704007969E-4</v>
      </c>
      <c r="AB9" s="21"/>
      <c r="AC9" s="16"/>
      <c r="AD9" s="21"/>
      <c r="AE9" s="7"/>
      <c r="AF9" s="7"/>
      <c r="AG9" s="7"/>
      <c r="AH9" s="24"/>
      <c r="AI9" s="24"/>
      <c r="AJ9" s="13"/>
      <c r="AK9" s="13"/>
      <c r="AL9" s="13"/>
      <c r="AM9" s="13"/>
      <c r="AN9" s="13"/>
      <c r="AO9" s="13"/>
      <c r="AP9" s="13"/>
      <c r="AQ9" s="13"/>
      <c r="AR9" s="14"/>
    </row>
    <row r="10" spans="1:44" ht="14.25" customHeight="1" x14ac:dyDescent="0.3">
      <c r="A10" s="353"/>
      <c r="B10" s="353"/>
      <c r="C10" s="2"/>
      <c r="D10" s="7"/>
      <c r="E10" s="45"/>
      <c r="F10" s="25"/>
      <c r="G10" s="16"/>
      <c r="H10" s="16"/>
      <c r="I10" s="7"/>
      <c r="J10" s="45"/>
      <c r="K10" s="25"/>
      <c r="L10" s="16"/>
      <c r="M10" s="16"/>
      <c r="N10" s="7"/>
      <c r="O10" s="7"/>
      <c r="P10" s="7"/>
      <c r="Q10" s="7"/>
      <c r="R10" s="7"/>
      <c r="S10" s="7"/>
      <c r="T10" s="7"/>
      <c r="U10" s="24"/>
      <c r="V10" s="24"/>
      <c r="W10" s="17" t="s">
        <v>31</v>
      </c>
      <c r="X10" s="44">
        <f>'Unit Fungsi'!P10</f>
        <v>1.1167017176929894</v>
      </c>
      <c r="Y10" s="18" t="s">
        <v>207</v>
      </c>
      <c r="Z10" s="55">
        <f t="shared" si="1"/>
        <v>2.2899999999999999E-3</v>
      </c>
      <c r="AA10" s="56">
        <f t="shared" si="2"/>
        <v>2.5572469335169456E-3</v>
      </c>
      <c r="AB10" s="21"/>
      <c r="AC10" s="16"/>
      <c r="AD10" s="21"/>
      <c r="AE10" s="7"/>
      <c r="AF10" s="7"/>
      <c r="AG10" s="7"/>
      <c r="AH10" s="24"/>
      <c r="AI10" s="24"/>
      <c r="AJ10" s="13"/>
      <c r="AK10" s="13"/>
      <c r="AL10" s="13"/>
      <c r="AM10" s="13"/>
      <c r="AN10" s="13"/>
      <c r="AO10" s="13"/>
      <c r="AP10" s="13"/>
      <c r="AQ10" s="13"/>
      <c r="AR10" s="14"/>
    </row>
    <row r="11" spans="1:44" ht="14.25" customHeight="1" x14ac:dyDescent="0.3">
      <c r="A11" s="354"/>
      <c r="B11" s="354"/>
      <c r="C11" s="2"/>
      <c r="D11" s="7"/>
      <c r="E11" s="45"/>
      <c r="F11" s="25"/>
      <c r="G11" s="16"/>
      <c r="H11" s="16"/>
      <c r="I11" s="7"/>
      <c r="J11" s="45"/>
      <c r="K11" s="25"/>
      <c r="L11" s="16"/>
      <c r="M11" s="16"/>
      <c r="N11" s="7"/>
      <c r="O11" s="7"/>
      <c r="P11" s="7"/>
      <c r="Q11" s="7"/>
      <c r="R11" s="7"/>
      <c r="S11" s="7"/>
      <c r="T11" s="7"/>
      <c r="U11" s="24"/>
      <c r="V11" s="24"/>
      <c r="W11" s="21"/>
      <c r="X11" s="46"/>
      <c r="Y11" s="22"/>
      <c r="Z11" s="22"/>
      <c r="AA11" s="22"/>
      <c r="AB11" s="21"/>
      <c r="AC11" s="16"/>
      <c r="AD11" s="21"/>
      <c r="AE11" s="7"/>
      <c r="AF11" s="7"/>
      <c r="AG11" s="7"/>
      <c r="AH11" s="24"/>
      <c r="AI11" s="24"/>
      <c r="AJ11" s="13"/>
      <c r="AK11" s="13"/>
      <c r="AL11" s="13"/>
      <c r="AM11" s="13"/>
      <c r="AN11" s="13"/>
      <c r="AO11" s="13"/>
      <c r="AP11" s="13"/>
      <c r="AQ11" s="13"/>
      <c r="AR11" s="14"/>
    </row>
    <row r="12" spans="1:44" ht="14.25" customHeight="1" x14ac:dyDescent="0.3">
      <c r="A12" s="356">
        <v>3</v>
      </c>
      <c r="B12" s="379" t="s">
        <v>37</v>
      </c>
      <c r="C12" s="10" t="s">
        <v>38</v>
      </c>
      <c r="D12" s="5" t="s">
        <v>39</v>
      </c>
      <c r="E12" s="47">
        <f>'Unit Fungsi'!E12</f>
        <v>24.839966543981944</v>
      </c>
      <c r="F12" s="58" t="s">
        <v>201</v>
      </c>
      <c r="G12" s="58">
        <v>0</v>
      </c>
      <c r="H12" s="59">
        <f>E12*G12</f>
        <v>0</v>
      </c>
      <c r="I12" s="5" t="s">
        <v>22</v>
      </c>
      <c r="J12" s="43">
        <f>'Unit Fungsi'!H12</f>
        <v>8.9641777063480463E-2</v>
      </c>
      <c r="K12" s="18" t="s">
        <v>203</v>
      </c>
      <c r="L12" s="44">
        <f>L4</f>
        <v>5.1500000000000001E-3</v>
      </c>
      <c r="M12" s="52">
        <f>J12*L12</f>
        <v>4.6165515187692439E-4</v>
      </c>
      <c r="N12" s="10" t="s">
        <v>41</v>
      </c>
      <c r="O12" s="48">
        <f>'Unit Fungsi'!K12</f>
        <v>2.5838915890496632E-2</v>
      </c>
      <c r="P12" s="18" t="s">
        <v>203</v>
      </c>
      <c r="Q12" s="18">
        <v>0</v>
      </c>
      <c r="R12" s="60">
        <f t="shared" ref="R12:R16" si="3">O12*Q12</f>
        <v>0</v>
      </c>
      <c r="S12" s="7"/>
      <c r="T12" s="7"/>
      <c r="U12" s="24"/>
      <c r="V12" s="24"/>
      <c r="W12" s="8" t="s">
        <v>24</v>
      </c>
      <c r="X12" s="44">
        <f>'Unit Fungsi'!P12</f>
        <v>4.572219585385123E-4</v>
      </c>
      <c r="Y12" s="20" t="s">
        <v>205</v>
      </c>
      <c r="Z12" s="53">
        <f t="shared" ref="Z12:Z14" si="4">Z4</f>
        <v>3.6900000000000002E-2</v>
      </c>
      <c r="AA12" s="54">
        <f t="shared" ref="AA12:AA14" si="5">X12*Z12</f>
        <v>1.6871490270071104E-5</v>
      </c>
      <c r="AB12" s="19" t="s">
        <v>43</v>
      </c>
      <c r="AC12" s="49">
        <f>'Unit Fungsi'!S12</f>
        <v>22.057890291055969</v>
      </c>
      <c r="AD12" s="20" t="s">
        <v>40</v>
      </c>
      <c r="AE12" s="7"/>
      <c r="AF12" s="7"/>
      <c r="AG12" s="7"/>
      <c r="AH12" s="24"/>
      <c r="AI12" s="24"/>
      <c r="AJ12" s="13"/>
      <c r="AK12" s="13"/>
      <c r="AL12" s="13"/>
      <c r="AM12" s="13"/>
      <c r="AN12" s="13"/>
      <c r="AO12" s="13"/>
      <c r="AP12" s="13"/>
      <c r="AQ12" s="13"/>
      <c r="AR12" s="14"/>
    </row>
    <row r="13" spans="1:44" ht="14.25" customHeight="1" x14ac:dyDescent="0.3">
      <c r="A13" s="353"/>
      <c r="B13" s="353"/>
      <c r="C13" s="10"/>
      <c r="D13" s="7"/>
      <c r="E13" s="45"/>
      <c r="F13" s="25"/>
      <c r="G13" s="16"/>
      <c r="H13" s="16"/>
      <c r="I13" s="7"/>
      <c r="J13" s="45"/>
      <c r="K13" s="25"/>
      <c r="L13" s="16"/>
      <c r="M13" s="16"/>
      <c r="N13" s="10" t="s">
        <v>44</v>
      </c>
      <c r="O13" s="48">
        <f>'Unit Fungsi'!K13</f>
        <v>3.4478466078456207E-3</v>
      </c>
      <c r="P13" s="18" t="s">
        <v>203</v>
      </c>
      <c r="Q13" s="18">
        <v>0</v>
      </c>
      <c r="R13" s="60">
        <f t="shared" si="3"/>
        <v>0</v>
      </c>
      <c r="S13" s="7"/>
      <c r="T13" s="7"/>
      <c r="U13" s="24"/>
      <c r="V13" s="24"/>
      <c r="W13" s="17" t="s">
        <v>29</v>
      </c>
      <c r="X13" s="44">
        <f>'Unit Fungsi'!P13</f>
        <v>6.9527955125976721E-3</v>
      </c>
      <c r="Y13" s="18" t="s">
        <v>206</v>
      </c>
      <c r="Z13" s="55">
        <f t="shared" si="4"/>
        <v>8.77E-3</v>
      </c>
      <c r="AA13" s="56">
        <f t="shared" si="5"/>
        <v>6.0976016645481584E-5</v>
      </c>
      <c r="AB13" s="7"/>
      <c r="AC13" s="16"/>
      <c r="AD13" s="7"/>
      <c r="AE13" s="7"/>
      <c r="AF13" s="7"/>
      <c r="AG13" s="7"/>
      <c r="AH13" s="24"/>
      <c r="AI13" s="24"/>
      <c r="AJ13" s="13"/>
      <c r="AK13" s="13"/>
      <c r="AL13" s="13"/>
      <c r="AM13" s="13"/>
      <c r="AN13" s="13"/>
      <c r="AO13" s="13"/>
      <c r="AP13" s="13"/>
      <c r="AQ13" s="13"/>
      <c r="AR13" s="14"/>
    </row>
    <row r="14" spans="1:44" ht="14.25" customHeight="1" x14ac:dyDescent="0.3">
      <c r="A14" s="353"/>
      <c r="B14" s="353"/>
      <c r="C14" s="10"/>
      <c r="D14" s="7"/>
      <c r="E14" s="45"/>
      <c r="F14" s="25"/>
      <c r="G14" s="16"/>
      <c r="H14" s="16"/>
      <c r="I14" s="7"/>
      <c r="J14" s="45"/>
      <c r="K14" s="25"/>
      <c r="L14" s="16"/>
      <c r="M14" s="16"/>
      <c r="N14" s="10" t="s">
        <v>45</v>
      </c>
      <c r="O14" s="48">
        <f>'Unit Fungsi'!K14</f>
        <v>0.71937191858710159</v>
      </c>
      <c r="P14" s="61" t="s">
        <v>203</v>
      </c>
      <c r="Q14" s="61">
        <v>0</v>
      </c>
      <c r="R14" s="60">
        <f t="shared" si="3"/>
        <v>0</v>
      </c>
      <c r="S14" s="7"/>
      <c r="T14" s="7"/>
      <c r="U14" s="24"/>
      <c r="V14" s="24"/>
      <c r="W14" s="17" t="s">
        <v>31</v>
      </c>
      <c r="X14" s="44">
        <f>'Unit Fungsi'!P14</f>
        <v>0.27173682328925053</v>
      </c>
      <c r="Y14" s="18" t="s">
        <v>207</v>
      </c>
      <c r="Z14" s="55">
        <f t="shared" si="4"/>
        <v>2.2899999999999999E-3</v>
      </c>
      <c r="AA14" s="56">
        <f t="shared" si="5"/>
        <v>6.2227732533238372E-4</v>
      </c>
      <c r="AB14" s="7"/>
      <c r="AC14" s="16"/>
      <c r="AD14" s="7"/>
      <c r="AE14" s="7"/>
      <c r="AF14" s="7"/>
      <c r="AG14" s="7"/>
      <c r="AH14" s="24"/>
      <c r="AI14" s="24"/>
      <c r="AJ14" s="13"/>
      <c r="AK14" s="13"/>
      <c r="AL14" s="13"/>
      <c r="AM14" s="13"/>
      <c r="AN14" s="13"/>
      <c r="AO14" s="13"/>
      <c r="AP14" s="13"/>
      <c r="AQ14" s="13"/>
      <c r="AR14" s="14"/>
    </row>
    <row r="15" spans="1:44" ht="14.25" customHeight="1" x14ac:dyDescent="0.3">
      <c r="A15" s="353"/>
      <c r="B15" s="353"/>
      <c r="C15" s="10"/>
      <c r="D15" s="7"/>
      <c r="E15" s="45"/>
      <c r="F15" s="25"/>
      <c r="G15" s="16"/>
      <c r="H15" s="16"/>
      <c r="I15" s="7"/>
      <c r="J15" s="45"/>
      <c r="K15" s="25"/>
      <c r="L15" s="16"/>
      <c r="M15" s="16"/>
      <c r="N15" s="10" t="s">
        <v>46</v>
      </c>
      <c r="O15" s="48">
        <f>'Unit Fungsi'!K15</f>
        <v>1.0797875586246475</v>
      </c>
      <c r="P15" s="61" t="s">
        <v>203</v>
      </c>
      <c r="Q15" s="61">
        <v>0</v>
      </c>
      <c r="R15" s="60">
        <f t="shared" si="3"/>
        <v>0</v>
      </c>
      <c r="S15" s="7"/>
      <c r="T15" s="7"/>
      <c r="U15" s="24"/>
      <c r="V15" s="24"/>
      <c r="W15" s="24"/>
      <c r="X15" s="16"/>
      <c r="Y15" s="25"/>
      <c r="Z15" s="25"/>
      <c r="AA15" s="25"/>
      <c r="AB15" s="7"/>
      <c r="AC15" s="16"/>
      <c r="AD15" s="7"/>
      <c r="AE15" s="7"/>
      <c r="AF15" s="7"/>
      <c r="AG15" s="7"/>
      <c r="AH15" s="24"/>
      <c r="AI15" s="24"/>
      <c r="AJ15" s="13"/>
      <c r="AK15" s="13"/>
      <c r="AL15" s="13"/>
      <c r="AM15" s="13"/>
      <c r="AN15" s="13"/>
      <c r="AO15" s="13"/>
      <c r="AP15" s="13"/>
      <c r="AQ15" s="13"/>
      <c r="AR15" s="14"/>
    </row>
    <row r="16" spans="1:44" ht="14.25" customHeight="1" x14ac:dyDescent="0.3">
      <c r="A16" s="353"/>
      <c r="B16" s="353"/>
      <c r="C16" s="10"/>
      <c r="D16" s="7"/>
      <c r="E16" s="45"/>
      <c r="F16" s="25"/>
      <c r="G16" s="16"/>
      <c r="H16" s="16"/>
      <c r="I16" s="7"/>
      <c r="J16" s="45"/>
      <c r="K16" s="25"/>
      <c r="L16" s="16"/>
      <c r="M16" s="16"/>
      <c r="N16" s="3" t="s">
        <v>47</v>
      </c>
      <c r="O16" s="48">
        <f>'Unit Fungsi'!K16</f>
        <v>3.1853188397032023E-2</v>
      </c>
      <c r="P16" s="61" t="s">
        <v>204</v>
      </c>
      <c r="Q16" s="61">
        <v>0</v>
      </c>
      <c r="R16" s="60">
        <f t="shared" si="3"/>
        <v>0</v>
      </c>
      <c r="S16" s="7"/>
      <c r="T16" s="7"/>
      <c r="U16" s="24"/>
      <c r="V16" s="24"/>
      <c r="W16" s="24"/>
      <c r="X16" s="16"/>
      <c r="Y16" s="25"/>
      <c r="Z16" s="25"/>
      <c r="AA16" s="25"/>
      <c r="AB16" s="7"/>
      <c r="AC16" s="16"/>
      <c r="AD16" s="7"/>
      <c r="AE16" s="7"/>
      <c r="AF16" s="7"/>
      <c r="AG16" s="7"/>
      <c r="AH16" s="24"/>
      <c r="AI16" s="24"/>
      <c r="AJ16" s="13"/>
      <c r="AK16" s="13"/>
      <c r="AL16" s="13"/>
      <c r="AM16" s="13"/>
      <c r="AN16" s="13"/>
      <c r="AO16" s="13"/>
      <c r="AP16" s="13"/>
      <c r="AQ16" s="13"/>
      <c r="AR16" s="14"/>
    </row>
    <row r="17" spans="1:44" ht="14.25" customHeight="1" x14ac:dyDescent="0.35">
      <c r="A17" s="354"/>
      <c r="B17" s="354"/>
      <c r="C17" s="10"/>
      <c r="D17" s="7"/>
      <c r="E17" s="45"/>
      <c r="F17" s="25"/>
      <c r="G17" s="16"/>
      <c r="H17" s="16"/>
      <c r="I17" s="7"/>
      <c r="J17" s="45"/>
      <c r="K17" s="25"/>
      <c r="L17" s="16"/>
      <c r="M17" s="16"/>
      <c r="N17" s="26"/>
      <c r="O17" s="26"/>
      <c r="P17" s="26"/>
      <c r="Q17" s="26"/>
      <c r="R17" s="26"/>
      <c r="S17" s="7"/>
      <c r="T17" s="7"/>
      <c r="U17" s="24"/>
      <c r="V17" s="24"/>
      <c r="W17" s="7"/>
      <c r="X17" s="16"/>
      <c r="Y17" s="25"/>
      <c r="Z17" s="16"/>
      <c r="AA17" s="16"/>
      <c r="AB17" s="7"/>
      <c r="AC17" s="16"/>
      <c r="AD17" s="7"/>
      <c r="AE17" s="7"/>
      <c r="AF17" s="7"/>
      <c r="AG17" s="7"/>
      <c r="AH17" s="24"/>
      <c r="AI17" s="24"/>
      <c r="AJ17" s="13"/>
      <c r="AK17" s="13"/>
      <c r="AL17" s="13"/>
      <c r="AM17" s="13"/>
      <c r="AN17" s="13"/>
      <c r="AO17" s="13"/>
      <c r="AP17" s="13"/>
      <c r="AQ17" s="13"/>
      <c r="AR17" s="14"/>
    </row>
    <row r="18" spans="1:44" ht="14.25" customHeight="1" x14ac:dyDescent="0.3">
      <c r="A18" s="378">
        <v>4</v>
      </c>
      <c r="B18" s="358" t="s">
        <v>49</v>
      </c>
      <c r="C18" s="14" t="s">
        <v>19</v>
      </c>
      <c r="D18" s="5" t="s">
        <v>50</v>
      </c>
      <c r="E18" s="43">
        <f>'Unit Fungsi'!E18</f>
        <v>24.839966543981944</v>
      </c>
      <c r="F18" s="18" t="s">
        <v>201</v>
      </c>
      <c r="G18" s="18">
        <v>0</v>
      </c>
      <c r="H18" s="60">
        <f>E18*G18</f>
        <v>0</v>
      </c>
      <c r="I18" s="3" t="s">
        <v>22</v>
      </c>
      <c r="J18" s="50">
        <f>'Unit Fungsi'!H18</f>
        <v>9.197851763478754</v>
      </c>
      <c r="K18" s="18" t="s">
        <v>203</v>
      </c>
      <c r="L18" s="51">
        <f>L4</f>
        <v>5.1500000000000001E-3</v>
      </c>
      <c r="M18" s="52">
        <f>J18*L18</f>
        <v>4.7368936581915586E-2</v>
      </c>
      <c r="N18" s="7"/>
      <c r="O18" s="7"/>
      <c r="P18" s="7"/>
      <c r="Q18" s="7"/>
      <c r="R18" s="7"/>
      <c r="S18" s="7"/>
      <c r="T18" s="7"/>
      <c r="U18" s="24"/>
      <c r="V18" s="24"/>
      <c r="W18" s="8" t="s">
        <v>24</v>
      </c>
      <c r="X18" s="44">
        <f>'Unit Fungsi'!P18</f>
        <v>4.6914061003794451E-2</v>
      </c>
      <c r="Y18" s="20" t="s">
        <v>205</v>
      </c>
      <c r="Z18" s="53">
        <f t="shared" ref="Z18:Z20" si="6">Z4</f>
        <v>3.6900000000000002E-2</v>
      </c>
      <c r="AA18" s="54">
        <f t="shared" ref="AA18:AA20" si="7">X18*Z18</f>
        <v>1.7311288510400153E-3</v>
      </c>
      <c r="AB18" s="5" t="s">
        <v>50</v>
      </c>
      <c r="AC18" s="43">
        <f>'Unit Fungsi'!S18</f>
        <v>24.839966543981944</v>
      </c>
      <c r="AD18" s="6" t="s">
        <v>40</v>
      </c>
      <c r="AE18" s="7"/>
      <c r="AF18" s="7"/>
      <c r="AG18" s="7"/>
      <c r="AH18" s="24"/>
      <c r="AI18" s="24"/>
      <c r="AJ18" s="13"/>
      <c r="AK18" s="13"/>
      <c r="AL18" s="13"/>
      <c r="AM18" s="13"/>
      <c r="AN18" s="13"/>
      <c r="AO18" s="13"/>
      <c r="AP18" s="13"/>
      <c r="AQ18" s="13"/>
      <c r="AR18" s="14"/>
    </row>
    <row r="19" spans="1:44" ht="14.25" customHeight="1" x14ac:dyDescent="0.3">
      <c r="A19" s="353"/>
      <c r="B19" s="353"/>
      <c r="C19" s="14" t="s">
        <v>51</v>
      </c>
      <c r="D19" s="7"/>
      <c r="E19" s="16"/>
      <c r="F19" s="25"/>
      <c r="G19" s="16"/>
      <c r="H19" s="16"/>
      <c r="I19" s="7"/>
      <c r="J19" s="45"/>
      <c r="K19" s="25"/>
      <c r="L19" s="16"/>
      <c r="M19" s="16"/>
      <c r="N19" s="7"/>
      <c r="O19" s="7"/>
      <c r="P19" s="7"/>
      <c r="Q19" s="7"/>
      <c r="R19" s="7"/>
      <c r="S19" s="7"/>
      <c r="T19" s="7"/>
      <c r="U19" s="24"/>
      <c r="V19" s="24"/>
      <c r="W19" s="17" t="s">
        <v>29</v>
      </c>
      <c r="X19" s="44">
        <f>'Unit Fungsi'!P19</f>
        <v>0.7134037784789391</v>
      </c>
      <c r="Y19" s="18" t="s">
        <v>206</v>
      </c>
      <c r="Z19" s="55">
        <f t="shared" si="6"/>
        <v>8.77E-3</v>
      </c>
      <c r="AA19" s="56">
        <f t="shared" si="7"/>
        <v>6.256551137260296E-3</v>
      </c>
      <c r="AB19" s="7"/>
      <c r="AC19" s="16"/>
      <c r="AD19" s="7"/>
      <c r="AE19" s="7"/>
      <c r="AF19" s="7"/>
      <c r="AG19" s="7"/>
      <c r="AH19" s="24"/>
      <c r="AI19" s="24"/>
      <c r="AJ19" s="13"/>
      <c r="AK19" s="13"/>
      <c r="AL19" s="13"/>
      <c r="AM19" s="13"/>
      <c r="AN19" s="13"/>
      <c r="AO19" s="13"/>
      <c r="AP19" s="13"/>
      <c r="AQ19" s="13"/>
      <c r="AR19" s="14"/>
    </row>
    <row r="20" spans="1:44" ht="14.25" customHeight="1" x14ac:dyDescent="0.3">
      <c r="A20" s="353"/>
      <c r="B20" s="353"/>
      <c r="C20" s="14"/>
      <c r="D20" s="7"/>
      <c r="E20" s="16"/>
      <c r="F20" s="25"/>
      <c r="G20" s="16"/>
      <c r="H20" s="16"/>
      <c r="I20" s="7"/>
      <c r="J20" s="45"/>
      <c r="K20" s="25"/>
      <c r="L20" s="16"/>
      <c r="M20" s="16"/>
      <c r="N20" s="7"/>
      <c r="O20" s="7"/>
      <c r="P20" s="7"/>
      <c r="Q20" s="7"/>
      <c r="R20" s="7"/>
      <c r="S20" s="7"/>
      <c r="T20" s="7"/>
      <c r="U20" s="24"/>
      <c r="V20" s="24"/>
      <c r="W20" s="17" t="s">
        <v>31</v>
      </c>
      <c r="X20" s="44">
        <f>'Unit Fungsi'!P20</f>
        <v>27.882033368472637</v>
      </c>
      <c r="Y20" s="18" t="s">
        <v>207</v>
      </c>
      <c r="Z20" s="55">
        <f t="shared" si="6"/>
        <v>2.2899999999999999E-3</v>
      </c>
      <c r="AA20" s="56">
        <f t="shared" si="7"/>
        <v>6.3849856413802336E-2</v>
      </c>
      <c r="AB20" s="7"/>
      <c r="AC20" s="16"/>
      <c r="AD20" s="7"/>
      <c r="AE20" s="7"/>
      <c r="AF20" s="7"/>
      <c r="AG20" s="7"/>
      <c r="AH20" s="24"/>
      <c r="AI20" s="24"/>
      <c r="AJ20" s="13"/>
      <c r="AK20" s="13"/>
      <c r="AL20" s="13"/>
      <c r="AM20" s="13"/>
      <c r="AN20" s="13"/>
      <c r="AO20" s="13"/>
      <c r="AP20" s="13"/>
      <c r="AQ20" s="13"/>
      <c r="AR20" s="14"/>
    </row>
    <row r="21" spans="1:44" ht="14.25" customHeight="1" x14ac:dyDescent="0.3">
      <c r="A21" s="354"/>
      <c r="B21" s="354"/>
      <c r="C21" s="14"/>
      <c r="D21" s="7"/>
      <c r="E21" s="16"/>
      <c r="F21" s="25"/>
      <c r="G21" s="16"/>
      <c r="H21" s="16"/>
      <c r="I21" s="7"/>
      <c r="J21" s="45"/>
      <c r="K21" s="25"/>
      <c r="L21" s="16"/>
      <c r="M21" s="16"/>
      <c r="N21" s="7"/>
      <c r="O21" s="7"/>
      <c r="P21" s="7"/>
      <c r="Q21" s="7"/>
      <c r="R21" s="7"/>
      <c r="S21" s="7"/>
      <c r="T21" s="7"/>
      <c r="U21" s="24"/>
      <c r="V21" s="24"/>
      <c r="W21" s="7"/>
      <c r="X21" s="46"/>
      <c r="Y21" s="25"/>
      <c r="Z21" s="16"/>
      <c r="AA21" s="16"/>
      <c r="AB21" s="7"/>
      <c r="AC21" s="16"/>
      <c r="AD21" s="7"/>
      <c r="AE21" s="7"/>
      <c r="AF21" s="7"/>
      <c r="AG21" s="7"/>
      <c r="AH21" s="24"/>
      <c r="AI21" s="24"/>
      <c r="AJ21" s="13"/>
      <c r="AK21" s="13"/>
      <c r="AL21" s="13"/>
      <c r="AM21" s="13"/>
      <c r="AN21" s="13"/>
      <c r="AO21" s="13"/>
      <c r="AP21" s="13"/>
      <c r="AQ21" s="13"/>
      <c r="AR21" s="14"/>
    </row>
    <row r="22" spans="1:44" ht="14.25" customHeight="1" x14ac:dyDescent="0.3">
      <c r="A22" s="356">
        <v>5</v>
      </c>
      <c r="B22" s="358" t="s">
        <v>52</v>
      </c>
      <c r="C22" s="28" t="s">
        <v>53</v>
      </c>
      <c r="D22" s="5" t="s">
        <v>54</v>
      </c>
      <c r="E22" s="6">
        <f>'Unit Fungsi'!E22</f>
        <v>1</v>
      </c>
      <c r="F22" s="18" t="s">
        <v>202</v>
      </c>
      <c r="G22" s="6">
        <f>CF!H6</f>
        <v>4.0000000000000002E-4</v>
      </c>
      <c r="H22" s="60">
        <f>E22*G22</f>
        <v>4.0000000000000002E-4</v>
      </c>
      <c r="I22" s="3" t="s">
        <v>22</v>
      </c>
      <c r="J22" s="48">
        <f>'Unit Fungsi'!H22</f>
        <v>0.15524651167584114</v>
      </c>
      <c r="K22" s="18" t="s">
        <v>203</v>
      </c>
      <c r="L22" s="51">
        <f>L4</f>
        <v>5.1500000000000001E-3</v>
      </c>
      <c r="M22" s="52">
        <f>J22*L22</f>
        <v>7.9951953513058183E-4</v>
      </c>
      <c r="N22" s="7"/>
      <c r="O22" s="7"/>
      <c r="P22" s="7"/>
      <c r="Q22" s="7"/>
      <c r="R22" s="7"/>
      <c r="S22" s="7"/>
      <c r="T22" s="7"/>
      <c r="U22" s="24"/>
      <c r="V22" s="24"/>
      <c r="W22" s="8" t="s">
        <v>24</v>
      </c>
      <c r="X22" s="44">
        <f>'Unit Fungsi'!P22</f>
        <v>7.9184188946224924E-4</v>
      </c>
      <c r="Y22" s="20" t="s">
        <v>205</v>
      </c>
      <c r="Z22" s="53">
        <f t="shared" ref="Z22:Z24" si="8">Z4</f>
        <v>3.6900000000000002E-2</v>
      </c>
      <c r="AA22" s="54">
        <f t="shared" ref="AA22:AA24" si="9">X22*Z22</f>
        <v>2.9218965721156997E-5</v>
      </c>
      <c r="AB22" s="17" t="s">
        <v>54</v>
      </c>
      <c r="AC22" s="6">
        <f>'Unit Fungsi'!S22</f>
        <v>1</v>
      </c>
      <c r="AD22" s="6" t="s">
        <v>55</v>
      </c>
      <c r="AE22" s="7"/>
      <c r="AF22" s="7"/>
      <c r="AG22" s="7"/>
      <c r="AH22" s="24"/>
      <c r="AI22" s="24"/>
      <c r="AJ22" s="13"/>
      <c r="AK22" s="13"/>
      <c r="AL22" s="13"/>
      <c r="AM22" s="13"/>
      <c r="AN22" s="13"/>
      <c r="AO22" s="13"/>
      <c r="AP22" s="13"/>
      <c r="AQ22" s="13"/>
      <c r="AR22" s="14"/>
    </row>
    <row r="23" spans="1:44" ht="14.25" customHeight="1" x14ac:dyDescent="0.3">
      <c r="A23" s="353"/>
      <c r="B23" s="353"/>
      <c r="C23" s="28"/>
      <c r="D23" s="7"/>
      <c r="E23" s="16"/>
      <c r="F23" s="25"/>
      <c r="G23" s="16"/>
      <c r="H23" s="16"/>
      <c r="I23" s="7"/>
      <c r="J23" s="45"/>
      <c r="K23" s="25"/>
      <c r="L23" s="16"/>
      <c r="M23" s="16"/>
      <c r="N23" s="7"/>
      <c r="O23" s="7"/>
      <c r="P23" s="7"/>
      <c r="Q23" s="7"/>
      <c r="R23" s="7"/>
      <c r="S23" s="7"/>
      <c r="T23" s="7"/>
      <c r="U23" s="24"/>
      <c r="V23" s="24"/>
      <c r="W23" s="17" t="s">
        <v>29</v>
      </c>
      <c r="X23" s="44">
        <f>'Unit Fungsi'!P23</f>
        <v>1.2041229938601588E-2</v>
      </c>
      <c r="Y23" s="18" t="s">
        <v>206</v>
      </c>
      <c r="Z23" s="55">
        <f t="shared" si="8"/>
        <v>8.77E-3</v>
      </c>
      <c r="AA23" s="56">
        <f t="shared" si="9"/>
        <v>1.0560158656153592E-4</v>
      </c>
      <c r="AB23" s="24"/>
      <c r="AC23" s="16"/>
      <c r="AD23" s="16"/>
      <c r="AE23" s="7"/>
      <c r="AF23" s="7"/>
      <c r="AG23" s="7"/>
      <c r="AH23" s="24"/>
      <c r="AI23" s="24"/>
      <c r="AJ23" s="13"/>
      <c r="AK23" s="13"/>
      <c r="AL23" s="13"/>
      <c r="AM23" s="13"/>
      <c r="AN23" s="13"/>
      <c r="AO23" s="13"/>
      <c r="AP23" s="13"/>
      <c r="AQ23" s="13"/>
      <c r="AR23" s="14"/>
    </row>
    <row r="24" spans="1:44" ht="14.25" customHeight="1" x14ac:dyDescent="0.3">
      <c r="A24" s="353"/>
      <c r="B24" s="353"/>
      <c r="C24" s="28"/>
      <c r="D24" s="7"/>
      <c r="E24" s="16"/>
      <c r="F24" s="25"/>
      <c r="G24" s="16"/>
      <c r="H24" s="16"/>
      <c r="I24" s="7"/>
      <c r="J24" s="45"/>
      <c r="K24" s="25"/>
      <c r="L24" s="16"/>
      <c r="M24" s="16"/>
      <c r="N24" s="7"/>
      <c r="O24" s="7"/>
      <c r="P24" s="7"/>
      <c r="Q24" s="7"/>
      <c r="R24" s="7"/>
      <c r="S24" s="7"/>
      <c r="T24" s="7"/>
      <c r="U24" s="24"/>
      <c r="V24" s="24"/>
      <c r="W24" s="17" t="s">
        <v>31</v>
      </c>
      <c r="X24" s="44">
        <f>'Unit Fungsi'!P24</f>
        <v>0.47060863016644744</v>
      </c>
      <c r="Y24" s="18" t="s">
        <v>207</v>
      </c>
      <c r="Z24" s="55">
        <f t="shared" si="8"/>
        <v>2.2899999999999999E-3</v>
      </c>
      <c r="AA24" s="56">
        <f t="shared" si="9"/>
        <v>1.0776937630811647E-3</v>
      </c>
      <c r="AB24" s="24"/>
      <c r="AC24" s="16"/>
      <c r="AD24" s="16"/>
      <c r="AE24" s="7"/>
      <c r="AF24" s="7"/>
      <c r="AG24" s="7"/>
      <c r="AH24" s="24"/>
      <c r="AI24" s="24"/>
      <c r="AJ24" s="13"/>
      <c r="AK24" s="13"/>
      <c r="AL24" s="13"/>
      <c r="AM24" s="13"/>
      <c r="AN24" s="13"/>
      <c r="AO24" s="13"/>
      <c r="AP24" s="13"/>
      <c r="AQ24" s="13"/>
      <c r="AR24" s="14"/>
    </row>
    <row r="25" spans="1:44" ht="14.25" customHeight="1" x14ac:dyDescent="0.3">
      <c r="A25" s="354"/>
      <c r="B25" s="354"/>
      <c r="C25" s="28"/>
      <c r="D25" s="7"/>
      <c r="E25" s="16"/>
      <c r="F25" s="25"/>
      <c r="G25" s="16"/>
      <c r="H25" s="16"/>
      <c r="I25" s="7"/>
      <c r="J25" s="45"/>
      <c r="K25" s="25"/>
      <c r="L25" s="16"/>
      <c r="M25" s="16"/>
      <c r="N25" s="7"/>
      <c r="O25" s="7"/>
      <c r="P25" s="7"/>
      <c r="Q25" s="7"/>
      <c r="R25" s="7"/>
      <c r="S25" s="7"/>
      <c r="T25" s="7"/>
      <c r="U25" s="24"/>
      <c r="V25" s="24"/>
      <c r="W25" s="7"/>
      <c r="X25" s="46"/>
      <c r="Y25" s="25"/>
      <c r="Z25" s="16"/>
      <c r="AA25" s="16"/>
      <c r="AB25" s="24"/>
      <c r="AC25" s="16"/>
      <c r="AD25" s="16"/>
      <c r="AE25" s="7"/>
      <c r="AF25" s="7"/>
      <c r="AG25" s="7"/>
      <c r="AH25" s="24"/>
      <c r="AI25" s="24"/>
      <c r="AJ25" s="13"/>
      <c r="AK25" s="13"/>
      <c r="AL25" s="13"/>
      <c r="AM25" s="13"/>
      <c r="AN25" s="13"/>
      <c r="AO25" s="13"/>
      <c r="AP25" s="13"/>
      <c r="AQ25" s="13"/>
      <c r="AR25" s="14"/>
    </row>
    <row r="26" spans="1:44" ht="14.25" customHeight="1" x14ac:dyDescent="0.3">
      <c r="A26" s="378">
        <v>6</v>
      </c>
      <c r="B26" s="358" t="s">
        <v>56</v>
      </c>
      <c r="C26" s="28" t="s">
        <v>57</v>
      </c>
      <c r="D26" s="5" t="s">
        <v>54</v>
      </c>
      <c r="E26" s="6">
        <f>'Unit Fungsi'!E26</f>
        <v>1</v>
      </c>
      <c r="F26" s="18" t="s">
        <v>202</v>
      </c>
      <c r="G26" s="6">
        <f>G22</f>
        <v>4.0000000000000002E-4</v>
      </c>
      <c r="H26" s="60">
        <f>E26*G26</f>
        <v>4.0000000000000002E-4</v>
      </c>
      <c r="I26" s="3" t="s">
        <v>22</v>
      </c>
      <c r="J26" s="48">
        <f>'Unit Fungsi'!H26</f>
        <v>0.3662570239060281</v>
      </c>
      <c r="K26" s="18" t="s">
        <v>203</v>
      </c>
      <c r="L26" s="51">
        <f>L4</f>
        <v>5.1500000000000001E-3</v>
      </c>
      <c r="M26" s="52">
        <f>J26*L26</f>
        <v>1.8862236731160447E-3</v>
      </c>
      <c r="N26" s="7"/>
      <c r="O26" s="7"/>
      <c r="P26" s="7"/>
      <c r="Q26" s="7"/>
      <c r="R26" s="7"/>
      <c r="S26" s="7"/>
      <c r="T26" s="7"/>
      <c r="U26" s="24"/>
      <c r="V26" s="24"/>
      <c r="W26" s="8" t="s">
        <v>24</v>
      </c>
      <c r="X26" s="44">
        <f>'Unit Fungsi'!P26</f>
        <v>1.8681105984792374E-3</v>
      </c>
      <c r="Y26" s="20" t="s">
        <v>205</v>
      </c>
      <c r="Z26" s="53">
        <f t="shared" ref="Z26:Z28" si="10">Z4</f>
        <v>3.6900000000000002E-2</v>
      </c>
      <c r="AA26" s="54">
        <f t="shared" ref="AA26:AA28" si="11">X26*Z26</f>
        <v>6.8933281083883869E-5</v>
      </c>
      <c r="AB26" s="17" t="s">
        <v>54</v>
      </c>
      <c r="AC26" s="6">
        <f>'Unit Fungsi'!S26</f>
        <v>1</v>
      </c>
      <c r="AD26" s="6" t="s">
        <v>55</v>
      </c>
      <c r="AE26" s="7"/>
      <c r="AF26" s="7"/>
      <c r="AG26" s="7"/>
      <c r="AH26" s="24"/>
      <c r="AI26" s="24"/>
      <c r="AJ26" s="13"/>
      <c r="AK26" s="13"/>
      <c r="AL26" s="13"/>
      <c r="AM26" s="13"/>
      <c r="AN26" s="13"/>
      <c r="AO26" s="13"/>
      <c r="AP26" s="13"/>
      <c r="AQ26" s="13"/>
      <c r="AR26" s="14"/>
    </row>
    <row r="27" spans="1:44" ht="14.25" customHeight="1" x14ac:dyDescent="0.3">
      <c r="A27" s="353"/>
      <c r="B27" s="353"/>
      <c r="C27" s="28"/>
      <c r="D27" s="7"/>
      <c r="E27" s="16"/>
      <c r="F27" s="25"/>
      <c r="G27" s="16"/>
      <c r="H27" s="16"/>
      <c r="I27" s="7"/>
      <c r="J27" s="45"/>
      <c r="K27" s="25"/>
      <c r="L27" s="16"/>
      <c r="M27" s="16"/>
      <c r="N27" s="7"/>
      <c r="O27" s="7"/>
      <c r="P27" s="7"/>
      <c r="Q27" s="7"/>
      <c r="R27" s="7"/>
      <c r="S27" s="7"/>
      <c r="T27" s="7"/>
      <c r="U27" s="24"/>
      <c r="V27" s="24"/>
      <c r="W27" s="17" t="s">
        <v>29</v>
      </c>
      <c r="X27" s="44">
        <f>'Unit Fungsi'!P27</f>
        <v>2.8407627288199351E-2</v>
      </c>
      <c r="Y27" s="18" t="s">
        <v>206</v>
      </c>
      <c r="Z27" s="55">
        <f t="shared" si="10"/>
        <v>8.77E-3</v>
      </c>
      <c r="AA27" s="56">
        <f t="shared" si="11"/>
        <v>2.4913489131750833E-4</v>
      </c>
      <c r="AB27" s="24"/>
      <c r="AC27" s="16"/>
      <c r="AD27" s="16"/>
      <c r="AE27" s="7"/>
      <c r="AF27" s="7"/>
      <c r="AG27" s="7"/>
      <c r="AH27" s="24"/>
      <c r="AI27" s="24"/>
      <c r="AJ27" s="13"/>
      <c r="AK27" s="13"/>
      <c r="AL27" s="13"/>
      <c r="AM27" s="13"/>
      <c r="AN27" s="13"/>
      <c r="AO27" s="13"/>
      <c r="AP27" s="13"/>
      <c r="AQ27" s="13"/>
      <c r="AR27" s="14"/>
    </row>
    <row r="28" spans="1:44" ht="14.25" customHeight="1" x14ac:dyDescent="0.3">
      <c r="A28" s="353"/>
      <c r="B28" s="353"/>
      <c r="C28" s="28"/>
      <c r="D28" s="7"/>
      <c r="E28" s="16"/>
      <c r="F28" s="25"/>
      <c r="G28" s="16"/>
      <c r="H28" s="16"/>
      <c r="I28" s="7"/>
      <c r="J28" s="45"/>
      <c r="K28" s="25"/>
      <c r="L28" s="16"/>
      <c r="M28" s="16"/>
      <c r="N28" s="7"/>
      <c r="O28" s="7"/>
      <c r="P28" s="7"/>
      <c r="Q28" s="7"/>
      <c r="R28" s="7"/>
      <c r="S28" s="7"/>
      <c r="T28" s="7"/>
      <c r="U28" s="24"/>
      <c r="V28" s="24"/>
      <c r="W28" s="17" t="s">
        <v>31</v>
      </c>
      <c r="X28" s="44">
        <f>'Unit Fungsi'!P28</f>
        <v>1.1102582238315004</v>
      </c>
      <c r="Y28" s="18" t="s">
        <v>207</v>
      </c>
      <c r="Z28" s="55">
        <f t="shared" si="10"/>
        <v>2.2899999999999999E-3</v>
      </c>
      <c r="AA28" s="56">
        <f t="shared" si="11"/>
        <v>2.5424913325741358E-3</v>
      </c>
      <c r="AB28" s="24"/>
      <c r="AC28" s="16"/>
      <c r="AD28" s="16"/>
      <c r="AE28" s="7"/>
      <c r="AF28" s="7"/>
      <c r="AG28" s="7"/>
      <c r="AH28" s="24"/>
      <c r="AI28" s="24"/>
      <c r="AJ28" s="13"/>
      <c r="AK28" s="13"/>
      <c r="AL28" s="13"/>
      <c r="AM28" s="13"/>
      <c r="AN28" s="13"/>
      <c r="AO28" s="13"/>
      <c r="AP28" s="13"/>
      <c r="AQ28" s="13"/>
      <c r="AR28" s="14"/>
    </row>
    <row r="29" spans="1:44" ht="14.25" customHeight="1" x14ac:dyDescent="0.3">
      <c r="A29" s="354"/>
      <c r="B29" s="354"/>
      <c r="C29" s="28"/>
      <c r="D29" s="7"/>
      <c r="E29" s="16"/>
      <c r="F29" s="25"/>
      <c r="G29" s="16"/>
      <c r="H29" s="16"/>
      <c r="I29" s="7"/>
      <c r="J29" s="45"/>
      <c r="K29" s="25"/>
      <c r="L29" s="16"/>
      <c r="M29" s="16"/>
      <c r="N29" s="7"/>
      <c r="O29" s="7"/>
      <c r="P29" s="7"/>
      <c r="Q29" s="7"/>
      <c r="R29" s="7"/>
      <c r="S29" s="7"/>
      <c r="T29" s="7"/>
      <c r="U29" s="24"/>
      <c r="V29" s="24"/>
      <c r="W29" s="7"/>
      <c r="X29" s="46"/>
      <c r="Y29" s="25"/>
      <c r="Z29" s="16"/>
      <c r="AA29" s="16"/>
      <c r="AB29" s="24"/>
      <c r="AC29" s="16"/>
      <c r="AD29" s="16"/>
      <c r="AE29" s="7"/>
      <c r="AF29" s="7"/>
      <c r="AG29" s="7"/>
      <c r="AH29" s="24"/>
      <c r="AI29" s="24"/>
      <c r="AJ29" s="13"/>
      <c r="AK29" s="13"/>
      <c r="AL29" s="13"/>
      <c r="AM29" s="13"/>
      <c r="AN29" s="13"/>
      <c r="AO29" s="13"/>
      <c r="AP29" s="13"/>
      <c r="AQ29" s="13"/>
      <c r="AR29" s="14"/>
    </row>
    <row r="30" spans="1:44" ht="14.25" customHeight="1" x14ac:dyDescent="0.3">
      <c r="A30" s="356">
        <v>7</v>
      </c>
      <c r="B30" s="358" t="s">
        <v>58</v>
      </c>
      <c r="C30" s="28" t="s">
        <v>28</v>
      </c>
      <c r="D30" s="5" t="s">
        <v>54</v>
      </c>
      <c r="E30" s="6">
        <f>'Unit Fungsi'!E30</f>
        <v>1</v>
      </c>
      <c r="F30" s="18" t="s">
        <v>202</v>
      </c>
      <c r="G30" s="6">
        <f>G22</f>
        <v>4.0000000000000002E-4</v>
      </c>
      <c r="H30" s="60">
        <f>E30*G30</f>
        <v>4.0000000000000002E-4</v>
      </c>
      <c r="I30" s="5" t="s">
        <v>22</v>
      </c>
      <c r="J30" s="43">
        <f>'Unit Fungsi'!H30</f>
        <v>0.94669558955441135</v>
      </c>
      <c r="K30" s="18" t="s">
        <v>203</v>
      </c>
      <c r="L30" s="44">
        <f>L4</f>
        <v>5.1500000000000001E-3</v>
      </c>
      <c r="M30" s="52">
        <f>J30*L30</f>
        <v>4.8754822862052188E-3</v>
      </c>
      <c r="N30" s="7"/>
      <c r="O30" s="7"/>
      <c r="P30" s="7"/>
      <c r="Q30" s="7"/>
      <c r="R30" s="7"/>
      <c r="S30" s="7"/>
      <c r="T30" s="7"/>
      <c r="U30" s="24"/>
      <c r="V30" s="24"/>
      <c r="W30" s="8" t="s">
        <v>24</v>
      </c>
      <c r="X30" s="44">
        <f>'Unit Fungsi'!P30</f>
        <v>4.828663886139983E-3</v>
      </c>
      <c r="Y30" s="20" t="s">
        <v>205</v>
      </c>
      <c r="Z30" s="53">
        <f t="shared" ref="Z30:Z32" si="12">Z4</f>
        <v>3.6900000000000002E-2</v>
      </c>
      <c r="AA30" s="54">
        <f t="shared" ref="AA30:AA32" si="13">X30*Z30</f>
        <v>1.781776973985654E-4</v>
      </c>
      <c r="AB30" s="17" t="s">
        <v>54</v>
      </c>
      <c r="AC30" s="6">
        <f>'Unit Fungsi'!S30</f>
        <v>1</v>
      </c>
      <c r="AD30" s="6" t="s">
        <v>55</v>
      </c>
      <c r="AE30" s="7"/>
      <c r="AF30" s="7"/>
      <c r="AG30" s="7"/>
      <c r="AH30" s="24"/>
      <c r="AI30" s="24"/>
      <c r="AJ30" s="13"/>
      <c r="AK30" s="13"/>
      <c r="AL30" s="13"/>
      <c r="AM30" s="13"/>
      <c r="AN30" s="13"/>
      <c r="AO30" s="13"/>
      <c r="AP30" s="13"/>
      <c r="AQ30" s="13"/>
      <c r="AR30" s="14"/>
    </row>
    <row r="31" spans="1:44" ht="14.25" customHeight="1" x14ac:dyDescent="0.3">
      <c r="A31" s="353"/>
      <c r="B31" s="353"/>
      <c r="C31" s="29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7" t="s">
        <v>29</v>
      </c>
      <c r="X31" s="44">
        <f>'Unit Fungsi'!P31</f>
        <v>7.3427603317019252E-2</v>
      </c>
      <c r="Y31" s="18" t="s">
        <v>206</v>
      </c>
      <c r="Z31" s="55">
        <f t="shared" si="12"/>
        <v>8.77E-3</v>
      </c>
      <c r="AA31" s="56">
        <f t="shared" si="13"/>
        <v>6.4396008109025881E-4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4"/>
    </row>
    <row r="32" spans="1:44" ht="14.25" customHeight="1" x14ac:dyDescent="0.3">
      <c r="A32" s="353"/>
      <c r="B32" s="353"/>
      <c r="C32" s="28" t="s">
        <v>57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7" t="s">
        <v>31</v>
      </c>
      <c r="X32" s="44">
        <f>'Unit Fungsi'!P32</f>
        <v>2.8697785848810766</v>
      </c>
      <c r="Y32" s="18" t="s">
        <v>207</v>
      </c>
      <c r="Z32" s="55">
        <f t="shared" si="12"/>
        <v>2.2899999999999999E-3</v>
      </c>
      <c r="AA32" s="56">
        <f t="shared" si="13"/>
        <v>6.5717929593776649E-3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4"/>
    </row>
    <row r="33" spans="1:50" ht="14.25" customHeight="1" x14ac:dyDescent="0.3">
      <c r="A33" s="353"/>
      <c r="B33" s="353"/>
      <c r="C33" s="28" t="s">
        <v>19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4"/>
    </row>
    <row r="34" spans="1:50" ht="14.25" customHeight="1" x14ac:dyDescent="0.3">
      <c r="A34" s="353"/>
      <c r="B34" s="353"/>
      <c r="C34" s="29" t="s">
        <v>60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4"/>
    </row>
    <row r="35" spans="1:50" ht="14.25" customHeight="1" x14ac:dyDescent="0.3">
      <c r="A35" s="353"/>
      <c r="B35" s="353"/>
      <c r="C35" s="29" t="s">
        <v>61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4"/>
    </row>
    <row r="36" spans="1:50" ht="14.25" customHeight="1" x14ac:dyDescent="0.3">
      <c r="A36" s="353"/>
      <c r="B36" s="353"/>
      <c r="C36" s="28" t="s">
        <v>62</v>
      </c>
      <c r="D36" s="13"/>
      <c r="E36" s="30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4"/>
    </row>
    <row r="37" spans="1:50" ht="14.25" customHeight="1" x14ac:dyDescent="0.3">
      <c r="A37" s="353"/>
      <c r="B37" s="353"/>
      <c r="C37" s="29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4"/>
    </row>
    <row r="38" spans="1:50" ht="14.25" customHeight="1" x14ac:dyDescent="0.3">
      <c r="A38" s="354"/>
      <c r="B38" s="354"/>
      <c r="C38" s="29" t="s">
        <v>64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4"/>
    </row>
    <row r="39" spans="1:50" s="264" customFormat="1" ht="14.25" customHeight="1" x14ac:dyDescent="0.3">
      <c r="A39" s="346">
        <v>8</v>
      </c>
      <c r="B39" s="349" t="s">
        <v>272</v>
      </c>
      <c r="C39" s="268" t="s">
        <v>283</v>
      </c>
      <c r="D39" s="283" t="s">
        <v>54</v>
      </c>
      <c r="E39" s="289">
        <f>'Unit Fungsi'!E39</f>
        <v>1</v>
      </c>
      <c r="F39" s="18" t="s">
        <v>202</v>
      </c>
      <c r="G39" s="18">
        <f>G30</f>
        <v>4.0000000000000002E-4</v>
      </c>
      <c r="H39" s="60">
        <f>E39*G39</f>
        <v>4.0000000000000002E-4</v>
      </c>
      <c r="I39" s="284" t="s">
        <v>22</v>
      </c>
      <c r="J39" s="291">
        <f>'Unit Fungsi'!H39</f>
        <v>0.45896578825032147</v>
      </c>
      <c r="K39" s="18" t="s">
        <v>203</v>
      </c>
      <c r="L39" s="55">
        <f>L12</f>
        <v>5.1500000000000001E-3</v>
      </c>
      <c r="M39" s="57">
        <f>J39*L39</f>
        <v>2.3636738094891556E-3</v>
      </c>
      <c r="N39" s="269"/>
      <c r="O39" s="269"/>
      <c r="P39" s="269"/>
      <c r="Q39" s="269"/>
      <c r="R39" s="269"/>
      <c r="S39" s="291">
        <f>'Unit Fungsi'!M39</f>
        <v>21.936256196726596</v>
      </c>
      <c r="T39" s="18" t="s">
        <v>203</v>
      </c>
      <c r="U39" s="293"/>
      <c r="V39" s="293"/>
      <c r="W39" s="277" t="s">
        <v>29</v>
      </c>
      <c r="X39" s="291">
        <f>'Unit Fungsi'!P39</f>
        <v>0.40990362334425118</v>
      </c>
      <c r="Y39" s="18" t="s">
        <v>206</v>
      </c>
      <c r="Z39" s="55">
        <f t="shared" ref="Z39:Z40" si="14">Z13</f>
        <v>8.77E-3</v>
      </c>
      <c r="AA39" s="56">
        <f>X39*Z39</f>
        <v>3.5948547767290827E-3</v>
      </c>
      <c r="AB39" s="17" t="s">
        <v>54</v>
      </c>
      <c r="AC39" s="264">
        <f>'Unit Fungsi'!S39</f>
        <v>1</v>
      </c>
      <c r="AD39" s="18" t="s">
        <v>55</v>
      </c>
      <c r="AE39" s="269"/>
      <c r="AF39" s="269"/>
      <c r="AG39" s="269"/>
      <c r="AH39" s="269"/>
      <c r="AI39" s="269"/>
      <c r="AJ39" s="291" t="str">
        <f>'Unit Fungsi'!X39</f>
        <v>Air Limbah</v>
      </c>
      <c r="AK39" s="292">
        <f>'Unit Fungsi'!Y39</f>
        <v>21.936256196726596</v>
      </c>
      <c r="AL39" s="277" t="s">
        <v>200</v>
      </c>
      <c r="AM39" s="292">
        <v>4.2500000000000003E-3</v>
      </c>
      <c r="AN39" s="300">
        <f>AM39*AK39</f>
        <v>9.3229088836088034E-2</v>
      </c>
      <c r="AO39" s="269"/>
      <c r="AP39" s="269"/>
      <c r="AQ39" s="269"/>
      <c r="AR39" s="277"/>
      <c r="AS39" s="292"/>
      <c r="AT39" s="292"/>
      <c r="AU39" s="288"/>
      <c r="AV39" s="288"/>
      <c r="AW39" s="288"/>
      <c r="AX39" s="287"/>
    </row>
    <row r="40" spans="1:50" s="264" customFormat="1" ht="14.25" customHeight="1" x14ac:dyDescent="0.3">
      <c r="A40" s="347"/>
      <c r="B40" s="350"/>
      <c r="C40" s="268"/>
      <c r="D40" s="284" t="s">
        <v>156</v>
      </c>
      <c r="E40" s="290">
        <f>'Unit Fungsi'!E40</f>
        <v>2.2355685488644349E-6</v>
      </c>
      <c r="F40" s="18" t="s">
        <v>202</v>
      </c>
      <c r="G40" s="293"/>
      <c r="H40" s="293"/>
      <c r="I40" s="284" t="s">
        <v>273</v>
      </c>
      <c r="J40" s="291">
        <f>'Unit Fungsi'!H40</f>
        <v>5.7370723531290184E-2</v>
      </c>
      <c r="K40" s="18" t="s">
        <v>203</v>
      </c>
      <c r="L40" s="55">
        <v>6.206999999999999E-3</v>
      </c>
      <c r="M40" s="57">
        <f>J40*L40</f>
        <v>3.5610008095871812E-4</v>
      </c>
      <c r="N40" s="269"/>
      <c r="O40" s="269"/>
      <c r="P40" s="269"/>
      <c r="Q40" s="269"/>
      <c r="R40" s="269"/>
      <c r="S40" s="269"/>
      <c r="T40" s="269"/>
      <c r="U40" s="269"/>
      <c r="V40" s="269"/>
      <c r="W40" s="277" t="s">
        <v>31</v>
      </c>
      <c r="X40" s="291">
        <f>'Unit Fungsi'!P40</f>
        <v>0.2834240641956331</v>
      </c>
      <c r="Y40" s="18" t="s">
        <v>207</v>
      </c>
      <c r="Z40" s="55">
        <f t="shared" si="14"/>
        <v>2.2899999999999999E-3</v>
      </c>
      <c r="AA40" s="56">
        <f>X40*Z40</f>
        <v>6.4904110700799973E-4</v>
      </c>
      <c r="AB40" s="269"/>
      <c r="AC40" s="269"/>
      <c r="AD40" s="269"/>
      <c r="AE40" s="282" t="s">
        <v>195</v>
      </c>
      <c r="AF40" s="291">
        <f>'Unit Fungsi'!V40</f>
        <v>2.5277799059977782E-6</v>
      </c>
      <c r="AG40" s="279" t="s">
        <v>202</v>
      </c>
      <c r="AH40" s="298">
        <v>1.8000000000000001E-4</v>
      </c>
      <c r="AI40" s="299">
        <f>AF40*AH40</f>
        <v>4.5500038307960011E-10</v>
      </c>
      <c r="AJ40" s="269"/>
      <c r="AK40" s="269"/>
      <c r="AL40" s="269"/>
      <c r="AM40" s="269"/>
      <c r="AN40" s="269"/>
      <c r="AO40" s="269"/>
      <c r="AP40" s="269"/>
      <c r="AQ40" s="269"/>
      <c r="AR40" s="288"/>
      <c r="AS40" s="288"/>
      <c r="AT40" s="288"/>
      <c r="AU40" s="288"/>
      <c r="AV40" s="288"/>
      <c r="AW40" s="288"/>
      <c r="AX40" s="287"/>
    </row>
    <row r="41" spans="1:50" s="264" customFormat="1" ht="14.25" customHeight="1" x14ac:dyDescent="0.3">
      <c r="A41" s="347"/>
      <c r="B41" s="350"/>
      <c r="C41" s="268"/>
      <c r="D41" s="284" t="s">
        <v>274</v>
      </c>
      <c r="E41" s="290">
        <f>'Unit Fungsi'!E41</f>
        <v>5.6919884053949107E-5</v>
      </c>
      <c r="F41" s="18" t="s">
        <v>202</v>
      </c>
      <c r="G41" s="293"/>
      <c r="H41" s="293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82" t="s">
        <v>275</v>
      </c>
      <c r="AF41" s="291">
        <f>'Unit Fungsi'!V41</f>
        <v>7.9553869134066085E-8</v>
      </c>
      <c r="AG41" s="279" t="s">
        <v>202</v>
      </c>
      <c r="AH41" s="298">
        <v>3.8600000000000001E-3</v>
      </c>
      <c r="AI41" s="299">
        <f t="shared" ref="AI41:AI48" si="15">AF41*AH41</f>
        <v>3.0707793485749513E-10</v>
      </c>
      <c r="AJ41" s="269"/>
      <c r="AK41" s="269"/>
      <c r="AL41" s="269"/>
      <c r="AM41" s="269"/>
      <c r="AN41" s="269"/>
      <c r="AO41" s="269"/>
      <c r="AP41" s="269"/>
      <c r="AQ41" s="269"/>
      <c r="AR41" s="288"/>
      <c r="AS41" s="288"/>
      <c r="AT41" s="288"/>
      <c r="AU41" s="288"/>
      <c r="AV41" s="288"/>
      <c r="AW41" s="288"/>
      <c r="AX41" s="287"/>
    </row>
    <row r="42" spans="1:50" s="264" customFormat="1" ht="14.25" customHeight="1" x14ac:dyDescent="0.3">
      <c r="A42" s="347"/>
      <c r="B42" s="350"/>
      <c r="C42" s="268"/>
      <c r="D42" s="284" t="s">
        <v>126</v>
      </c>
      <c r="E42" s="290">
        <f>'Unit Fungsi'!E42</f>
        <v>6.033037297453697E-5</v>
      </c>
      <c r="F42" s="18" t="s">
        <v>202</v>
      </c>
      <c r="G42" s="293"/>
      <c r="H42" s="293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82" t="s">
        <v>276</v>
      </c>
      <c r="AF42" s="291">
        <f>'Unit Fungsi'!V42</f>
        <v>1.4464339842557471E-6</v>
      </c>
      <c r="AG42" s="279" t="s">
        <v>202</v>
      </c>
      <c r="AH42" s="298">
        <v>4.2500000000000003E-3</v>
      </c>
      <c r="AI42" s="299">
        <f t="shared" si="15"/>
        <v>6.1473444330869252E-9</v>
      </c>
      <c r="AJ42" s="269"/>
      <c r="AK42" s="269"/>
      <c r="AL42" s="269"/>
      <c r="AM42" s="269"/>
      <c r="AN42" s="269"/>
      <c r="AO42" s="269"/>
      <c r="AP42" s="269"/>
      <c r="AQ42" s="269"/>
      <c r="AR42" s="288"/>
      <c r="AS42" s="288"/>
      <c r="AT42" s="288"/>
      <c r="AU42" s="288"/>
      <c r="AV42" s="288"/>
      <c r="AW42" s="288"/>
      <c r="AX42" s="287"/>
    </row>
    <row r="43" spans="1:50" s="264" customFormat="1" ht="14.25" customHeight="1" x14ac:dyDescent="0.3">
      <c r="A43" s="347"/>
      <c r="B43" s="350"/>
      <c r="C43" s="268"/>
      <c r="D43" s="284" t="s">
        <v>127</v>
      </c>
      <c r="E43" s="290">
        <f>'Unit Fungsi'!E43</f>
        <v>1.9306503372293342E-5</v>
      </c>
      <c r="F43" s="18" t="s">
        <v>202</v>
      </c>
      <c r="G43" s="293"/>
      <c r="H43" s="293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82" t="s">
        <v>277</v>
      </c>
      <c r="AF43" s="291">
        <f>'Unit Fungsi'!V43</f>
        <v>5.6919884053949109E-8</v>
      </c>
      <c r="AG43" s="279" t="s">
        <v>202</v>
      </c>
      <c r="AH43" s="298">
        <v>0</v>
      </c>
      <c r="AI43" s="299">
        <f t="shared" si="15"/>
        <v>0</v>
      </c>
      <c r="AJ43" s="269"/>
      <c r="AK43" s="269"/>
      <c r="AL43" s="269"/>
      <c r="AM43" s="269"/>
      <c r="AN43" s="269"/>
      <c r="AO43" s="269"/>
      <c r="AP43" s="269"/>
      <c r="AQ43" s="269"/>
      <c r="AR43" s="288"/>
      <c r="AS43" s="288"/>
      <c r="AT43" s="288"/>
      <c r="AU43" s="288"/>
      <c r="AV43" s="288"/>
      <c r="AW43" s="288"/>
      <c r="AX43" s="287"/>
    </row>
    <row r="44" spans="1:50" s="264" customFormat="1" ht="14.25" customHeight="1" x14ac:dyDescent="0.3">
      <c r="A44" s="347"/>
      <c r="B44" s="350"/>
      <c r="C44" s="268"/>
      <c r="D44" s="284" t="s">
        <v>128</v>
      </c>
      <c r="E44" s="290">
        <f>'Unit Fungsi'!E44</f>
        <v>3.6902147023324741E-3</v>
      </c>
      <c r="F44" s="18" t="s">
        <v>202</v>
      </c>
      <c r="G44" s="293"/>
      <c r="H44" s="293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82" t="s">
        <v>278</v>
      </c>
      <c r="AF44" s="291">
        <f>'Unit Fungsi'!V44</f>
        <v>6.0330372974536973E-8</v>
      </c>
      <c r="AG44" s="279" t="s">
        <v>202</v>
      </c>
      <c r="AH44" s="298">
        <v>7.9200000000000004E-6</v>
      </c>
      <c r="AI44" s="299">
        <f t="shared" si="15"/>
        <v>4.7781655395833288E-13</v>
      </c>
      <c r="AJ44" s="269"/>
      <c r="AK44" s="269"/>
      <c r="AL44" s="269"/>
      <c r="AM44" s="269"/>
      <c r="AN44" s="269"/>
      <c r="AO44" s="269"/>
      <c r="AP44" s="269"/>
      <c r="AQ44" s="269"/>
      <c r="AR44" s="288"/>
      <c r="AS44" s="288"/>
      <c r="AT44" s="288"/>
      <c r="AU44" s="288"/>
      <c r="AV44" s="288"/>
      <c r="AW44" s="288"/>
      <c r="AX44" s="287"/>
    </row>
    <row r="45" spans="1:50" s="264" customFormat="1" ht="14.25" customHeight="1" x14ac:dyDescent="0.3">
      <c r="A45" s="347"/>
      <c r="B45" s="350"/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82" t="s">
        <v>279</v>
      </c>
      <c r="AF45" s="291">
        <f>'Unit Fungsi'!V45</f>
        <v>1.9306503372293343E-8</v>
      </c>
      <c r="AG45" s="279" t="s">
        <v>202</v>
      </c>
      <c r="AH45" s="298">
        <v>4.0600000000000002E-3</v>
      </c>
      <c r="AI45" s="299">
        <f t="shared" si="15"/>
        <v>7.8384403691510979E-11</v>
      </c>
      <c r="AJ45" s="269"/>
      <c r="AK45" s="269"/>
      <c r="AL45" s="269"/>
      <c r="AM45" s="269"/>
      <c r="AN45" s="269"/>
      <c r="AO45" s="269"/>
      <c r="AP45" s="269"/>
      <c r="AQ45" s="269"/>
      <c r="AR45" s="288"/>
      <c r="AS45" s="288"/>
      <c r="AT45" s="288"/>
      <c r="AU45" s="288"/>
      <c r="AV45" s="288"/>
      <c r="AW45" s="288"/>
      <c r="AX45" s="287"/>
    </row>
    <row r="46" spans="1:50" s="264" customFormat="1" ht="14.25" customHeight="1" x14ac:dyDescent="0.3">
      <c r="A46" s="347"/>
      <c r="B46" s="350"/>
      <c r="C46" s="268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82" t="s">
        <v>280</v>
      </c>
      <c r="AF46" s="291">
        <f>'Unit Fungsi'!V46</f>
        <v>3.690214702332474E-6</v>
      </c>
      <c r="AG46" s="279" t="s">
        <v>202</v>
      </c>
      <c r="AH46" s="298">
        <v>7.6799999999999993E-2</v>
      </c>
      <c r="AI46" s="299">
        <f t="shared" si="15"/>
        <v>2.83408489139134E-7</v>
      </c>
      <c r="AJ46" s="269"/>
      <c r="AK46" s="269"/>
      <c r="AL46" s="269"/>
      <c r="AM46" s="269"/>
      <c r="AN46" s="269"/>
      <c r="AO46" s="269"/>
      <c r="AP46" s="269"/>
      <c r="AQ46" s="269"/>
      <c r="AR46" s="288"/>
      <c r="AS46" s="288"/>
      <c r="AT46" s="288"/>
      <c r="AU46" s="288"/>
      <c r="AV46" s="288"/>
      <c r="AW46" s="288"/>
      <c r="AX46" s="287"/>
    </row>
    <row r="47" spans="1:50" s="264" customFormat="1" ht="14.25" customHeight="1" x14ac:dyDescent="0.3">
      <c r="A47" s="347"/>
      <c r="B47" s="350"/>
      <c r="C47" s="268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82" t="s">
        <v>281</v>
      </c>
      <c r="AF47" s="291">
        <f>'Unit Fungsi'!V47</f>
        <v>3.1188732785514542E-7</v>
      </c>
      <c r="AG47" s="279" t="s">
        <v>202</v>
      </c>
      <c r="AH47" s="298">
        <v>2.0900000000000001E-4</v>
      </c>
      <c r="AI47" s="299">
        <f t="shared" si="15"/>
        <v>6.5184451521725397E-11</v>
      </c>
      <c r="AJ47" s="269"/>
      <c r="AK47" s="269"/>
      <c r="AL47" s="269"/>
      <c r="AM47" s="269"/>
      <c r="AN47" s="269"/>
      <c r="AO47" s="269"/>
      <c r="AP47" s="269"/>
      <c r="AQ47" s="269"/>
      <c r="AR47" s="288"/>
      <c r="AS47" s="288"/>
      <c r="AT47" s="288"/>
      <c r="AU47" s="288"/>
      <c r="AV47" s="288"/>
      <c r="AW47" s="288"/>
      <c r="AX47" s="287"/>
    </row>
    <row r="48" spans="1:50" s="264" customFormat="1" ht="14.25" customHeight="1" x14ac:dyDescent="0.3">
      <c r="A48" s="347"/>
      <c r="B48" s="350"/>
      <c r="C48" s="268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82" t="s">
        <v>282</v>
      </c>
      <c r="AF48" s="291">
        <f>'Unit Fungsi'!V48</f>
        <v>9.2318406988326563E-9</v>
      </c>
      <c r="AG48" s="279" t="s">
        <v>202</v>
      </c>
      <c r="AH48" s="298">
        <v>1.8000000000000001E-4</v>
      </c>
      <c r="AI48" s="299">
        <f t="shared" si="15"/>
        <v>1.6617313257898783E-12</v>
      </c>
      <c r="AJ48" s="269"/>
      <c r="AK48" s="269"/>
      <c r="AL48" s="269"/>
      <c r="AM48" s="269"/>
      <c r="AN48" s="269"/>
      <c r="AO48" s="269"/>
      <c r="AP48" s="269"/>
      <c r="AQ48" s="269"/>
      <c r="AR48" s="288"/>
      <c r="AS48" s="288"/>
      <c r="AT48" s="288"/>
      <c r="AU48" s="288"/>
      <c r="AV48" s="288"/>
      <c r="AW48" s="288"/>
      <c r="AX48" s="287"/>
    </row>
    <row r="49" spans="1:50" s="264" customFormat="1" ht="14.25" customHeight="1" x14ac:dyDescent="0.3">
      <c r="A49" s="348"/>
      <c r="B49" s="351"/>
      <c r="C49" s="268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88"/>
      <c r="AS49" s="288"/>
      <c r="AT49" s="288"/>
      <c r="AU49" s="288"/>
      <c r="AV49" s="288"/>
      <c r="AW49" s="288"/>
      <c r="AX49" s="287"/>
    </row>
    <row r="50" spans="1:50" ht="14.25" customHeight="1" x14ac:dyDescent="0.3"/>
    <row r="51" spans="1:50" ht="14.25" customHeight="1" x14ac:dyDescent="0.35">
      <c r="B51" s="62" t="s">
        <v>96</v>
      </c>
      <c r="D51" s="63" t="s">
        <v>87</v>
      </c>
      <c r="E51" s="64">
        <f>SUM(H4,M4,AA4:AA6)</f>
        <v>6.7433684143518064E-4</v>
      </c>
      <c r="G51" s="381" t="s">
        <v>210</v>
      </c>
      <c r="H51" s="381"/>
      <c r="I51" s="381"/>
      <c r="J51" s="33"/>
    </row>
    <row r="52" spans="1:50" ht="14.25" customHeight="1" x14ac:dyDescent="0.35">
      <c r="B52" s="65">
        <f>SUM(H4,H8,H12,H18,H22,H26,H30,H39,M39,M40,AA39,AA40,AI40,AI41,AI42,AI43,AI44,AI45,AI46,AI47,AI48,AN39,M4,M8,M12,M18,M22,M26,M30,R12:R16,AA4:AA6,AA8:AA10,AA12:AA14,AA18:AA20,AA22:AA24,AA26:AA28,AA30:AA32)</f>
        <v>0.24669677202840634</v>
      </c>
      <c r="D52" s="63" t="s">
        <v>88</v>
      </c>
      <c r="E52" s="64">
        <f>SUM(H8,M8,AA8:AA10)</f>
        <v>4.8329030922771394E-3</v>
      </c>
      <c r="G52" s="195" t="s">
        <v>86</v>
      </c>
      <c r="H52" s="195" t="s">
        <v>211</v>
      </c>
      <c r="I52" s="195" t="s">
        <v>212</v>
      </c>
      <c r="J52" s="33"/>
    </row>
    <row r="53" spans="1:50" ht="14.25" customHeight="1" x14ac:dyDescent="0.35">
      <c r="B53" s="62" t="s">
        <v>97</v>
      </c>
      <c r="D53" s="63" t="s">
        <v>89</v>
      </c>
      <c r="E53" s="64">
        <f>SUM(H12,M12,R12:R16,AA12:AA14)</f>
        <v>1.1617799841248608E-3</v>
      </c>
      <c r="G53" s="198">
        <f>H4</f>
        <v>2.0052814728892618E-8</v>
      </c>
      <c r="H53" s="203">
        <f>(G53/$G$90)*100%</f>
        <v>1.3838716024699664E-7</v>
      </c>
      <c r="I53" s="199"/>
      <c r="J53" s="33"/>
    </row>
    <row r="54" spans="1:50" ht="14.25" customHeight="1" x14ac:dyDescent="0.35">
      <c r="D54" s="63" t="s">
        <v>90</v>
      </c>
      <c r="E54" s="64">
        <f>SUM(H18,M18,AA18:AA20)</f>
        <v>0.11920647298401824</v>
      </c>
      <c r="G54" s="198">
        <f>H8</f>
        <v>5.8571486609592192E-5</v>
      </c>
      <c r="H54" s="203">
        <f t="shared" ref="H54:H89" si="16">(G54/$G$90)*100%</f>
        <v>4.0420967395005038E-4</v>
      </c>
      <c r="I54" s="199"/>
    </row>
    <row r="55" spans="1:50" ht="14.25" customHeight="1" x14ac:dyDescent="0.35">
      <c r="D55" s="63" t="s">
        <v>52</v>
      </c>
      <c r="E55" s="64">
        <f>SUM(H22,M22,AA22:AA24)</f>
        <v>2.4120338504944397E-3</v>
      </c>
      <c r="G55" s="199">
        <f>H12</f>
        <v>0</v>
      </c>
      <c r="H55" s="203">
        <f t="shared" si="16"/>
        <v>0</v>
      </c>
      <c r="I55" s="199"/>
    </row>
    <row r="56" spans="1:50" ht="14.25" customHeight="1" x14ac:dyDescent="0.35">
      <c r="D56" s="63" t="s">
        <v>56</v>
      </c>
      <c r="E56" s="64">
        <f>SUM(H26,M26,AA26:AA28)</f>
        <v>5.146783178091573E-3</v>
      </c>
      <c r="G56" s="199">
        <f>H18</f>
        <v>0</v>
      </c>
      <c r="H56" s="203">
        <f t="shared" si="16"/>
        <v>0</v>
      </c>
      <c r="I56" s="199"/>
    </row>
    <row r="57" spans="1:50" ht="14.25" customHeight="1" x14ac:dyDescent="0.35">
      <c r="D57" s="63" t="s">
        <v>91</v>
      </c>
      <c r="E57" s="64">
        <f>SUM(H30,M30,AA30:AA32)</f>
        <v>1.2669413024071707E-2</v>
      </c>
      <c r="G57" s="198">
        <f>M4</f>
        <v>2.6795247268632391E-4</v>
      </c>
      <c r="H57" s="203">
        <f t="shared" si="16"/>
        <v>1.849175902612503E-3</v>
      </c>
      <c r="I57" s="199"/>
    </row>
    <row r="58" spans="1:50" ht="14.25" customHeight="1" x14ac:dyDescent="0.35">
      <c r="D58" s="74" t="s">
        <v>272</v>
      </c>
      <c r="E58" s="303">
        <f>SUM(H39,M39,M40,AA39,AA40,AI40,AI41,AI42,AI43,AI44,AI45,AI46,AI47,AI48,AN39)</f>
        <v>0.10059304907389328</v>
      </c>
      <c r="G58" s="198">
        <f>M8</f>
        <v>1.8971705595234025E-3</v>
      </c>
      <c r="H58" s="203">
        <f t="shared" si="16"/>
        <v>1.3092628131569434E-2</v>
      </c>
      <c r="I58" s="199"/>
    </row>
    <row r="59" spans="1:50" ht="14.25" customHeight="1" x14ac:dyDescent="0.3">
      <c r="D59" s="302"/>
      <c r="E59" s="303">
        <f>SUM(E51:E58)</f>
        <v>0.24669677202840645</v>
      </c>
      <c r="G59" s="198">
        <f>M12</f>
        <v>4.6165515187692439E-4</v>
      </c>
      <c r="H59" s="203">
        <f t="shared" si="16"/>
        <v>3.1859440355569259E-3</v>
      </c>
      <c r="I59" s="199"/>
    </row>
    <row r="60" spans="1:50" ht="14.25" customHeight="1" x14ac:dyDescent="0.35">
      <c r="G60" s="205">
        <f>M18</f>
        <v>4.7368936581915586E-2</v>
      </c>
      <c r="H60" s="206">
        <f t="shared" si="16"/>
        <v>0.3268993757792214</v>
      </c>
      <c r="I60" s="207" t="s">
        <v>246</v>
      </c>
      <c r="W60" s="66"/>
      <c r="X60" s="67"/>
      <c r="Y60" s="68"/>
      <c r="Z60" s="68"/>
      <c r="AA60" s="68"/>
      <c r="AB60" s="380"/>
      <c r="AC60" s="367"/>
      <c r="AD60" s="367"/>
    </row>
    <row r="61" spans="1:50" ht="14.25" customHeight="1" x14ac:dyDescent="0.3">
      <c r="G61" s="198">
        <f>M22</f>
        <v>7.9951953513058183E-4</v>
      </c>
      <c r="H61" s="203">
        <f t="shared" si="16"/>
        <v>5.5175913967480308E-3</v>
      </c>
      <c r="I61" s="199"/>
    </row>
    <row r="62" spans="1:50" ht="14.25" customHeight="1" x14ac:dyDescent="0.3">
      <c r="G62" s="198">
        <f>M26</f>
        <v>1.8862236731160447E-3</v>
      </c>
      <c r="H62" s="203">
        <f t="shared" si="16"/>
        <v>1.3017082202285105E-2</v>
      </c>
      <c r="I62" s="199"/>
    </row>
    <row r="63" spans="1:50" ht="14.25" customHeight="1" x14ac:dyDescent="0.3">
      <c r="G63" s="198">
        <f>M30</f>
        <v>4.8754822862052188E-3</v>
      </c>
      <c r="H63" s="203">
        <f t="shared" si="16"/>
        <v>3.3646356261913889E-2</v>
      </c>
      <c r="I63" s="199"/>
    </row>
    <row r="64" spans="1:50" ht="14.25" customHeight="1" x14ac:dyDescent="0.3">
      <c r="G64" s="199">
        <f>R12</f>
        <v>0</v>
      </c>
      <c r="H64" s="203">
        <f t="shared" si="16"/>
        <v>0</v>
      </c>
      <c r="I64" s="199"/>
    </row>
    <row r="65" spans="7:9" ht="14.25" customHeight="1" x14ac:dyDescent="0.3">
      <c r="G65" s="199">
        <f t="shared" ref="G65:G68" si="17">R13</f>
        <v>0</v>
      </c>
      <c r="H65" s="203">
        <f t="shared" si="16"/>
        <v>0</v>
      </c>
      <c r="I65" s="199"/>
    </row>
    <row r="66" spans="7:9" ht="14.25" customHeight="1" x14ac:dyDescent="0.3">
      <c r="G66" s="199">
        <f t="shared" si="17"/>
        <v>0</v>
      </c>
      <c r="H66" s="203">
        <f t="shared" si="16"/>
        <v>0</v>
      </c>
      <c r="I66" s="199"/>
    </row>
    <row r="67" spans="7:9" ht="14.25" customHeight="1" x14ac:dyDescent="0.3">
      <c r="G67" s="199">
        <f t="shared" si="17"/>
        <v>0</v>
      </c>
      <c r="H67" s="203">
        <f t="shared" si="16"/>
        <v>0</v>
      </c>
      <c r="I67" s="199"/>
    </row>
    <row r="68" spans="7:9" ht="14.25" customHeight="1" x14ac:dyDescent="0.3">
      <c r="G68" s="199">
        <f t="shared" si="17"/>
        <v>0</v>
      </c>
      <c r="H68" s="203">
        <f t="shared" si="16"/>
        <v>0</v>
      </c>
      <c r="I68" s="199"/>
    </row>
    <row r="69" spans="7:9" ht="14.25" customHeight="1" x14ac:dyDescent="0.3">
      <c r="G69" s="198">
        <f>AA4</f>
        <v>9.7924988324922336E-6</v>
      </c>
      <c r="H69" s="203">
        <f t="shared" si="16"/>
        <v>6.7579346015603795E-5</v>
      </c>
      <c r="I69" s="199"/>
    </row>
    <row r="70" spans="7:9" ht="14.25" customHeight="1" x14ac:dyDescent="0.3">
      <c r="G70" s="198">
        <f t="shared" ref="G70:G71" si="18">AA5</f>
        <v>3.5391513271956445E-5</v>
      </c>
      <c r="H70" s="203">
        <f t="shared" si="16"/>
        <v>2.4424157330358052E-4</v>
      </c>
      <c r="I70" s="199"/>
    </row>
    <row r="71" spans="7:9" ht="14.25" customHeight="1" x14ac:dyDescent="0.3">
      <c r="G71" s="198">
        <f t="shared" si="18"/>
        <v>3.611803038296792E-4</v>
      </c>
      <c r="H71" s="203">
        <f t="shared" si="16"/>
        <v>2.4925536519379674E-3</v>
      </c>
      <c r="I71" s="199"/>
    </row>
    <row r="72" spans="7:9" ht="14.25" customHeight="1" x14ac:dyDescent="0.3">
      <c r="G72" s="198">
        <f>AA8</f>
        <v>6.9333342226402106E-5</v>
      </c>
      <c r="H72" s="203">
        <f t="shared" si="16"/>
        <v>4.7847868096644139E-4</v>
      </c>
      <c r="I72" s="199"/>
    </row>
    <row r="73" spans="7:9" ht="14.25" customHeight="1" x14ac:dyDescent="0.3">
      <c r="G73" s="198">
        <f>AA9</f>
        <v>2.505807704007969E-4</v>
      </c>
      <c r="H73" s="203">
        <f t="shared" si="16"/>
        <v>1.7292914584358672E-3</v>
      </c>
      <c r="I73" s="199"/>
    </row>
    <row r="74" spans="7:9" ht="14.25" customHeight="1" x14ac:dyDescent="0.3">
      <c r="G74" s="198">
        <f>AA10</f>
        <v>2.5572469335169456E-3</v>
      </c>
      <c r="H74" s="203">
        <f t="shared" si="16"/>
        <v>1.7647903596788146E-2</v>
      </c>
      <c r="I74" s="199"/>
    </row>
    <row r="75" spans="7:9" ht="14.25" customHeight="1" x14ac:dyDescent="0.3">
      <c r="G75" s="198">
        <f>AA12</f>
        <v>1.6871490270071104E-5</v>
      </c>
      <c r="H75" s="203">
        <f t="shared" si="16"/>
        <v>1.1643241406135057E-4</v>
      </c>
      <c r="I75" s="199"/>
    </row>
    <row r="76" spans="7:9" ht="14.25" customHeight="1" x14ac:dyDescent="0.3">
      <c r="G76" s="198">
        <f>AA13</f>
        <v>6.0976016645481584E-5</v>
      </c>
      <c r="H76" s="203">
        <f t="shared" si="16"/>
        <v>4.2080365778195095E-4</v>
      </c>
      <c r="I76" s="199"/>
    </row>
    <row r="77" spans="7:9" ht="14.25" customHeight="1" x14ac:dyDescent="0.3">
      <c r="G77" s="198">
        <f>AA14</f>
        <v>6.2227732533238372E-4</v>
      </c>
      <c r="H77" s="203">
        <f t="shared" si="16"/>
        <v>4.2944191677374869E-3</v>
      </c>
      <c r="I77" s="199"/>
    </row>
    <row r="78" spans="7:9" ht="14.25" customHeight="1" x14ac:dyDescent="0.3">
      <c r="G78" s="198">
        <f>AA18</f>
        <v>1.7311288510400153E-3</v>
      </c>
      <c r="H78" s="203">
        <f t="shared" si="16"/>
        <v>1.1946752062287838E-2</v>
      </c>
      <c r="I78" s="199"/>
    </row>
    <row r="79" spans="7:9" ht="14.25" customHeight="1" x14ac:dyDescent="0.3">
      <c r="G79" s="198">
        <f>AA19</f>
        <v>6.256551137260296E-3</v>
      </c>
      <c r="H79" s="203">
        <f t="shared" si="16"/>
        <v>4.3177297378510386E-2</v>
      </c>
      <c r="I79" s="199"/>
    </row>
    <row r="80" spans="7:9" ht="14.25" customHeight="1" x14ac:dyDescent="0.3">
      <c r="G80" s="205">
        <f>AA20</f>
        <v>6.3849856413802336E-2</v>
      </c>
      <c r="H80" s="206">
        <f t="shared" si="16"/>
        <v>0.44063641093504202</v>
      </c>
      <c r="I80" s="207" t="s">
        <v>245</v>
      </c>
    </row>
    <row r="81" spans="7:9" ht="14.25" customHeight="1" x14ac:dyDescent="0.3">
      <c r="G81" s="198">
        <f>AA22</f>
        <v>2.9218965721156997E-5</v>
      </c>
      <c r="H81" s="203">
        <f t="shared" si="16"/>
        <v>2.0164399592637898E-4</v>
      </c>
      <c r="I81" s="199"/>
    </row>
    <row r="82" spans="7:9" ht="14.25" customHeight="1" x14ac:dyDescent="0.3">
      <c r="G82" s="198">
        <f>AA23</f>
        <v>1.0560158656153592E-4</v>
      </c>
      <c r="H82" s="203">
        <f t="shared" si="16"/>
        <v>7.2877069276325909E-4</v>
      </c>
      <c r="I82" s="199"/>
    </row>
    <row r="83" spans="7:9" ht="14.25" customHeight="1" x14ac:dyDescent="0.3">
      <c r="G83" s="198">
        <f>AA24</f>
        <v>1.0776937630811647E-3</v>
      </c>
      <c r="H83" s="203">
        <f t="shared" si="16"/>
        <v>7.4373090015048436E-3</v>
      </c>
      <c r="I83" s="199"/>
    </row>
    <row r="84" spans="7:9" ht="14.25" customHeight="1" x14ac:dyDescent="0.3">
      <c r="G84" s="198">
        <f>AA26</f>
        <v>6.8933281083883869E-5</v>
      </c>
      <c r="H84" s="203">
        <f t="shared" si="16"/>
        <v>4.7571780543915202E-4</v>
      </c>
      <c r="I84" s="199"/>
    </row>
    <row r="85" spans="7:9" ht="14.25" customHeight="1" x14ac:dyDescent="0.3">
      <c r="G85" s="198">
        <f>AA27</f>
        <v>2.4913489131750833E-4</v>
      </c>
      <c r="H85" s="203">
        <f t="shared" si="16"/>
        <v>1.7193132532261747E-3</v>
      </c>
      <c r="I85" s="199"/>
    </row>
    <row r="86" spans="7:9" ht="14.25" customHeight="1" x14ac:dyDescent="0.3">
      <c r="G86" s="198">
        <f>AA28</f>
        <v>2.5424913325741358E-3</v>
      </c>
      <c r="H86" s="203">
        <f t="shared" si="16"/>
        <v>1.754607321836894E-2</v>
      </c>
      <c r="I86" s="199"/>
    </row>
    <row r="87" spans="7:9" ht="14.25" customHeight="1" x14ac:dyDescent="0.3">
      <c r="G87" s="198">
        <f>AA30</f>
        <v>1.781776973985654E-4</v>
      </c>
      <c r="H87" s="203">
        <f t="shared" si="16"/>
        <v>1.2296281542365708E-3</v>
      </c>
      <c r="I87" s="199"/>
    </row>
    <row r="88" spans="7:9" ht="14.25" customHeight="1" x14ac:dyDescent="0.3">
      <c r="G88" s="198">
        <f>AA31</f>
        <v>6.4396008109025881E-4</v>
      </c>
      <c r="H88" s="203">
        <f t="shared" si="16"/>
        <v>4.4440547693340143E-3</v>
      </c>
      <c r="I88" s="199"/>
    </row>
    <row r="89" spans="7:9" ht="14.25" customHeight="1" x14ac:dyDescent="0.3">
      <c r="G89" s="205">
        <f>AA32</f>
        <v>6.5717929593776649E-3</v>
      </c>
      <c r="H89" s="206">
        <f t="shared" si="16"/>
        <v>4.5352823415314332E-2</v>
      </c>
      <c r="I89" s="207" t="s">
        <v>247</v>
      </c>
    </row>
    <row r="90" spans="7:9" ht="14.25" customHeight="1" x14ac:dyDescent="0.3">
      <c r="G90" s="208">
        <f>SUM(G53:G89)</f>
        <v>0.14490372295451315</v>
      </c>
      <c r="H90" s="204">
        <f>SUM(H53:H89)</f>
        <v>0.99999999999999978</v>
      </c>
      <c r="I90" s="186"/>
    </row>
    <row r="91" spans="7:9" ht="14.25" customHeight="1" x14ac:dyDescent="0.3"/>
    <row r="92" spans="7:9" ht="14.25" customHeight="1" x14ac:dyDescent="0.3"/>
    <row r="93" spans="7:9" ht="14.25" customHeight="1" x14ac:dyDescent="0.3"/>
    <row r="94" spans="7:9" ht="14.25" customHeight="1" x14ac:dyDescent="0.3"/>
    <row r="95" spans="7:9" ht="14.25" customHeight="1" x14ac:dyDescent="0.3"/>
    <row r="96" spans="7:9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  <row r="1012" ht="14.25" customHeight="1" x14ac:dyDescent="0.3"/>
    <row r="1013" ht="14.25" customHeight="1" x14ac:dyDescent="0.3"/>
    <row r="1014" ht="14.25" customHeight="1" x14ac:dyDescent="0.3"/>
    <row r="1015" ht="14.25" customHeight="1" x14ac:dyDescent="0.3"/>
  </sheetData>
  <mergeCells count="63">
    <mergeCell ref="A39:A49"/>
    <mergeCell ref="B39:B49"/>
    <mergeCell ref="D1:V1"/>
    <mergeCell ref="AH2:AH3"/>
    <mergeCell ref="AI2:AI3"/>
    <mergeCell ref="AG2:AG3"/>
    <mergeCell ref="E2:E3"/>
    <mergeCell ref="F2:F3"/>
    <mergeCell ref="A4:A7"/>
    <mergeCell ref="B4:B7"/>
    <mergeCell ref="A30:A38"/>
    <mergeCell ref="B30:B38"/>
    <mergeCell ref="A12:A17"/>
    <mergeCell ref="A18:A21"/>
    <mergeCell ref="B18:B21"/>
    <mergeCell ref="A22:A25"/>
    <mergeCell ref="AP2:AP3"/>
    <mergeCell ref="AQ2:AQ3"/>
    <mergeCell ref="A1:A3"/>
    <mergeCell ref="B1:B3"/>
    <mergeCell ref="C1:C3"/>
    <mergeCell ref="W1:AQ1"/>
    <mergeCell ref="K2:K3"/>
    <mergeCell ref="L2:L3"/>
    <mergeCell ref="M2:M3"/>
    <mergeCell ref="N2:N3"/>
    <mergeCell ref="O2:O3"/>
    <mergeCell ref="P2:P3"/>
    <mergeCell ref="Q2:Q3"/>
    <mergeCell ref="AF2:AF3"/>
    <mergeCell ref="AR1:AR3"/>
    <mergeCell ref="D2:D3"/>
    <mergeCell ref="X2:X3"/>
    <mergeCell ref="Y2:Y3"/>
    <mergeCell ref="Z2:Z3"/>
    <mergeCell ref="AA2:AA3"/>
    <mergeCell ref="AB2:AB3"/>
    <mergeCell ref="AC2:AC3"/>
    <mergeCell ref="AJ2:AJ3"/>
    <mergeCell ref="AK2:AK3"/>
    <mergeCell ref="AL2:AL3"/>
    <mergeCell ref="AO2:AO3"/>
    <mergeCell ref="G2:G3"/>
    <mergeCell ref="H2:H3"/>
    <mergeCell ref="AM2:AM3"/>
    <mergeCell ref="AN2:AN3"/>
    <mergeCell ref="AB60:AD60"/>
    <mergeCell ref="AD2:AD3"/>
    <mergeCell ref="AE2:AE3"/>
    <mergeCell ref="I2:I3"/>
    <mergeCell ref="J2:J3"/>
    <mergeCell ref="S2:T2"/>
    <mergeCell ref="W2:W3"/>
    <mergeCell ref="G51:I51"/>
    <mergeCell ref="R2:R3"/>
    <mergeCell ref="U2:U3"/>
    <mergeCell ref="V2:V3"/>
    <mergeCell ref="B22:B25"/>
    <mergeCell ref="A26:A29"/>
    <mergeCell ref="B26:B29"/>
    <mergeCell ref="A8:A11"/>
    <mergeCell ref="B8:B11"/>
    <mergeCell ref="B12:B1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Metode Pengambilan Data</vt:lpstr>
      <vt:lpstr>Uji Sensitivitas</vt:lpstr>
      <vt:lpstr>Kualitas Data</vt:lpstr>
      <vt:lpstr>Pareto Rules</vt:lpstr>
      <vt:lpstr>Inventori</vt:lpstr>
      <vt:lpstr>Unit Fungsi</vt:lpstr>
      <vt:lpstr>GWP</vt:lpstr>
      <vt:lpstr>ODP</vt:lpstr>
      <vt:lpstr>AP</vt:lpstr>
      <vt:lpstr>EP</vt:lpstr>
      <vt:lpstr>Utilitas</vt:lpstr>
      <vt:lpstr>UT Unit Fungsi</vt:lpstr>
      <vt:lpstr>UT GWP</vt:lpstr>
      <vt:lpstr>UT ODP</vt:lpstr>
      <vt:lpstr>UT EP</vt:lpstr>
      <vt:lpstr>UT AP</vt:lpstr>
      <vt:lpstr>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Putri Alifa Kholil</dc:creator>
  <cp:lastModifiedBy>Lenovo</cp:lastModifiedBy>
  <dcterms:created xsi:type="dcterms:W3CDTF">2021-08-15T04:00:02Z</dcterms:created>
  <dcterms:modified xsi:type="dcterms:W3CDTF">2022-04-01T03:49:24Z</dcterms:modified>
</cp:coreProperties>
</file>