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EEYYOO!\#yu bisa yu fasttrack\! Skripsi Draft\!!! SKRIPSI\!!! DATA SEKUNDER\"/>
    </mc:Choice>
  </mc:AlternateContent>
  <xr:revisionPtr revIDLastSave="0" documentId="13_ncr:1_{3BF5CB75-838D-4F7C-B416-63B619299D92}" xr6:coauthVersionLast="47" xr6:coauthVersionMax="47" xr10:uidLastSave="{00000000-0000-0000-0000-000000000000}"/>
  <bookViews>
    <workbookView xWindow="-98" yWindow="-98" windowWidth="21795" windowHeight="12975" activeTab="1" xr2:uid="{384CFBEF-BC38-467F-AC60-22D5F1D26502}"/>
  </bookViews>
  <sheets>
    <sheet name="asumsi" sheetId="1" r:id="rId1"/>
    <sheet name="Olah Data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8" l="1"/>
  <c r="J24" i="8" s="1"/>
  <c r="K24" i="8" s="1"/>
  <c r="L24" i="8" s="1"/>
  <c r="N24" i="8" s="1"/>
  <c r="E23" i="8"/>
  <c r="J23" i="8" s="1"/>
  <c r="K23" i="8" s="1"/>
  <c r="L23" i="8" s="1"/>
  <c r="N23" i="8" s="1"/>
  <c r="E16" i="8"/>
  <c r="L16" i="8" s="1"/>
  <c r="N16" i="8" s="1"/>
  <c r="O16" i="8" s="1"/>
  <c r="P16" i="8" s="1"/>
  <c r="E17" i="8"/>
  <c r="L17" i="8" s="1"/>
  <c r="N17" i="8" s="1"/>
  <c r="O17" i="8" s="1"/>
  <c r="P17" i="8" s="1"/>
  <c r="E18" i="8"/>
  <c r="L18" i="8" s="1"/>
  <c r="N18" i="8" s="1"/>
  <c r="O18" i="8" s="1"/>
  <c r="P18" i="8" s="1"/>
  <c r="E15" i="8"/>
  <c r="L15" i="8" s="1"/>
  <c r="N15" i="8" s="1"/>
  <c r="L19" i="8" l="1"/>
  <c r="O15" i="8"/>
  <c r="P15" i="8" s="1"/>
  <c r="P19" i="8" s="1"/>
  <c r="N19" i="8"/>
  <c r="O19" i="8" s="1"/>
  <c r="C3" i="1" l="1"/>
  <c r="G20" i="1" l="1"/>
  <c r="D6" i="8" s="1"/>
  <c r="G6" i="8" s="1"/>
  <c r="G21" i="1"/>
  <c r="D7" i="8" s="1"/>
  <c r="G7" i="8" s="1"/>
  <c r="G22" i="1"/>
  <c r="D8" i="8" s="1"/>
  <c r="G8" i="8" s="1"/>
  <c r="G19" i="1"/>
  <c r="D5" i="8" s="1"/>
  <c r="G5" i="8" s="1"/>
  <c r="G16" i="1"/>
  <c r="I16" i="1" s="1"/>
  <c r="G17" i="1"/>
  <c r="I17" i="1" s="1"/>
  <c r="G18" i="1"/>
  <c r="I18" i="1" s="1"/>
  <c r="G15" i="1"/>
  <c r="I15" i="1" s="1"/>
  <c r="C10" i="1"/>
  <c r="F10" i="1" s="1"/>
  <c r="G12" i="1"/>
  <c r="G13" i="1"/>
  <c r="G14" i="1"/>
  <c r="G11" i="1"/>
  <c r="G9" i="8" l="1"/>
  <c r="H5" i="8"/>
  <c r="I5" i="8"/>
  <c r="I8" i="8"/>
  <c r="H8" i="8"/>
  <c r="J8" i="8" s="1"/>
  <c r="L8" i="8" s="1"/>
  <c r="N8" i="8" s="1"/>
  <c r="O8" i="8" s="1"/>
  <c r="H7" i="8"/>
  <c r="J7" i="8" s="1"/>
  <c r="L7" i="8" s="1"/>
  <c r="N7" i="8" s="1"/>
  <c r="O7" i="8" s="1"/>
  <c r="I7" i="8"/>
  <c r="H6" i="8"/>
  <c r="J6" i="8" s="1"/>
  <c r="L6" i="8" s="1"/>
  <c r="N6" i="8" s="1"/>
  <c r="O6" i="8" s="1"/>
  <c r="I6" i="8"/>
  <c r="S8" i="8" l="1"/>
  <c r="K8" i="8"/>
  <c r="Q8" i="8" s="1"/>
  <c r="J18" i="8"/>
  <c r="K18" i="8" s="1"/>
  <c r="J5" i="8"/>
  <c r="H9" i="8"/>
  <c r="S7" i="8"/>
  <c r="J17" i="8"/>
  <c r="K17" i="8" s="1"/>
  <c r="K7" i="8"/>
  <c r="Q7" i="8" s="1"/>
  <c r="S5" i="8"/>
  <c r="J15" i="8"/>
  <c r="I9" i="8"/>
  <c r="K5" i="8"/>
  <c r="S6" i="8"/>
  <c r="J16" i="8"/>
  <c r="K16" i="8" s="1"/>
  <c r="K6" i="8"/>
  <c r="Q6" i="8" s="1"/>
  <c r="Q5" i="8" l="1"/>
  <c r="K9" i="8"/>
  <c r="L5" i="8"/>
  <c r="J9" i="8"/>
  <c r="J19" i="8"/>
  <c r="K19" i="8" s="1"/>
  <c r="K15" i="8"/>
  <c r="N5" i="8" l="1"/>
  <c r="L9" i="8"/>
  <c r="O5" i="8" l="1"/>
  <c r="O9" i="8" s="1"/>
  <c r="N9" i="8"/>
</calcChain>
</file>

<file path=xl/sharedStrings.xml><?xml version="1.0" encoding="utf-8"?>
<sst xmlns="http://schemas.openxmlformats.org/spreadsheetml/2006/main" count="129" uniqueCount="86">
  <si>
    <t>Asumsi:</t>
  </si>
  <si>
    <t>Luas Lahan</t>
  </si>
  <si>
    <t>Kedalaman Gambut</t>
  </si>
  <si>
    <t>Kematangan Gambut</t>
  </si>
  <si>
    <t>Vegetasi</t>
  </si>
  <si>
    <t>Hemik</t>
  </si>
  <si>
    <t>Tahun tanam</t>
  </si>
  <si>
    <t>Riap Tinggi</t>
  </si>
  <si>
    <t>Riap Diameter</t>
  </si>
  <si>
    <t>Nisbah Akar Pucuk</t>
  </si>
  <si>
    <t>%C organik: Hemik</t>
  </si>
  <si>
    <t>tahun</t>
  </si>
  <si>
    <t>Tinggi pohon</t>
  </si>
  <si>
    <t>Diameter pohon</t>
  </si>
  <si>
    <t>cm</t>
  </si>
  <si>
    <t>m</t>
  </si>
  <si>
    <t>hektar</t>
  </si>
  <si>
    <t>meter</t>
  </si>
  <si>
    <t>cm/tahun</t>
  </si>
  <si>
    <t>%</t>
  </si>
  <si>
    <t>ton/m3</t>
  </si>
  <si>
    <t>Nilai Ekonomi Serapan Karbon</t>
  </si>
  <si>
    <t>gambut bekas kebakaran</t>
  </si>
  <si>
    <t>Berat Jenis Pohon</t>
  </si>
  <si>
    <r>
      <t>Jelutung Rawa (</t>
    </r>
    <r>
      <rPr>
        <i/>
        <sz val="11"/>
        <color theme="1"/>
        <rFont val="Calibri"/>
        <family val="2"/>
        <scheme val="minor"/>
      </rPr>
      <t>Dyera lowii</t>
    </r>
    <r>
      <rPr>
        <sz val="11"/>
        <color theme="1"/>
        <rFont val="Calibri"/>
        <family val="2"/>
        <scheme val="minor"/>
      </rPr>
      <t>)</t>
    </r>
  </si>
  <si>
    <r>
      <t>Ramin (</t>
    </r>
    <r>
      <rPr>
        <i/>
        <sz val="11"/>
        <color theme="1"/>
        <rFont val="Calibri"/>
        <family val="2"/>
        <scheme val="minor"/>
      </rPr>
      <t>Gonystylus bancanus</t>
    </r>
    <r>
      <rPr>
        <sz val="11"/>
        <color theme="1"/>
        <rFont val="Calibri"/>
        <family val="2"/>
        <scheme val="minor"/>
      </rPr>
      <t>)</t>
    </r>
  </si>
  <si>
    <r>
      <t>Meranti (</t>
    </r>
    <r>
      <rPr>
        <i/>
        <sz val="11"/>
        <color theme="1"/>
        <rFont val="Calibri"/>
        <family val="2"/>
        <scheme val="minor"/>
      </rPr>
      <t>Shorea belangeran</t>
    </r>
    <r>
      <rPr>
        <sz val="11"/>
        <color theme="1"/>
        <rFont val="Calibri"/>
        <family val="2"/>
        <scheme val="minor"/>
      </rPr>
      <t>)</t>
    </r>
  </si>
  <si>
    <r>
      <t>Punak (</t>
    </r>
    <r>
      <rPr>
        <i/>
        <sz val="11"/>
        <color theme="1"/>
        <rFont val="Calibri"/>
        <family val="2"/>
        <scheme val="minor"/>
      </rPr>
      <t>Tetramerista glabra</t>
    </r>
    <r>
      <rPr>
        <sz val="11"/>
        <color theme="1"/>
        <rFont val="Calibri"/>
        <family val="2"/>
        <scheme val="minor"/>
      </rPr>
      <t>)</t>
    </r>
  </si>
  <si>
    <t>Jumlah Pohon</t>
  </si>
  <si>
    <t>Jarak tanam</t>
  </si>
  <si>
    <t>5x4</t>
  </si>
  <si>
    <t>meter/ha</t>
  </si>
  <si>
    <t>Persentase kehidupan</t>
  </si>
  <si>
    <t>Jumlah pohon</t>
  </si>
  <si>
    <t>per hektar</t>
  </si>
  <si>
    <t>Umur pohon</t>
  </si>
  <si>
    <t>Bobot isi tanah gambut: Hemik</t>
  </si>
  <si>
    <t>hemik dan gambut sangat dalam, hutan gambut sekunder</t>
  </si>
  <si>
    <r>
      <t>Meranti (</t>
    </r>
    <r>
      <rPr>
        <i/>
        <sz val="11"/>
        <rFont val="Calibri"/>
        <family val="2"/>
        <scheme val="minor"/>
      </rPr>
      <t>Shorea belangeran</t>
    </r>
    <r>
      <rPr>
        <sz val="11"/>
        <rFont val="Calibri"/>
        <family val="2"/>
        <scheme val="minor"/>
      </rPr>
      <t>)</t>
    </r>
  </si>
  <si>
    <t>Total</t>
  </si>
  <si>
    <t>m2</t>
  </si>
  <si>
    <t>10 ha</t>
  </si>
  <si>
    <t>%C-Organik</t>
  </si>
  <si>
    <t>BAP (kg/pohon)</t>
  </si>
  <si>
    <t>Carbon Stock (kg/pohon)</t>
  </si>
  <si>
    <t>Serapan CO2 (ton)</t>
  </si>
  <si>
    <t>NAP</t>
  </si>
  <si>
    <t>BBP (ton)</t>
  </si>
  <si>
    <t>Carbon Uptake</t>
  </si>
  <si>
    <t>ATAS</t>
  </si>
  <si>
    <t>BAWAH</t>
  </si>
  <si>
    <t>Kebun Plasma Nutfah</t>
  </si>
  <si>
    <t>Jenis Pohon</t>
  </si>
  <si>
    <t>Diameter Pohon (cm)</t>
  </si>
  <si>
    <t>0.5*BAP</t>
  </si>
  <si>
    <t>Bj*0.19*D^2.37</t>
  </si>
  <si>
    <t>BAP Total Pohon (kg)</t>
  </si>
  <si>
    <t>BAP*JP</t>
  </si>
  <si>
    <t>Carbon Stock Total Pohon (kg)</t>
  </si>
  <si>
    <t>CS*JP</t>
  </si>
  <si>
    <t>BAP Total Pohon (ton)</t>
  </si>
  <si>
    <t>Carbon Stock Total Pohon (ton)</t>
  </si>
  <si>
    <t>BAP (kg)/1000</t>
  </si>
  <si>
    <t>CS (kg)/1000</t>
  </si>
  <si>
    <t>Carbon Stock Total Pohon (ton)*3,67</t>
  </si>
  <si>
    <t>Nilai Tukar:Rp 15.860/US$</t>
  </si>
  <si>
    <t>Harga:US$ 25/tonC</t>
  </si>
  <si>
    <t>Luas Lahan (ha)</t>
  </si>
  <si>
    <t>BBP (kg)</t>
  </si>
  <si>
    <t>BAP*NAP</t>
  </si>
  <si>
    <t>BBP(kg)/1000</t>
  </si>
  <si>
    <t>Carbon Stock (ton)</t>
  </si>
  <si>
    <t>W*A*D*%C Organik</t>
  </si>
  <si>
    <t>Berat Jenis Pohon (ton/m3)</t>
  </si>
  <si>
    <r>
      <t>Ketebalan Gambut (</t>
    </r>
    <r>
      <rPr>
        <b/>
        <sz val="11"/>
        <color theme="1"/>
        <rFont val="Calibri"/>
        <family val="2"/>
        <scheme val="minor"/>
      </rPr>
      <t>D)</t>
    </r>
  </si>
  <si>
    <r>
      <t xml:space="preserve">Luas Lahan (m2) </t>
    </r>
    <r>
      <rPr>
        <b/>
        <sz val="11"/>
        <color theme="1"/>
        <rFont val="Calibri"/>
        <family val="2"/>
        <scheme val="minor"/>
      </rPr>
      <t>(A)</t>
    </r>
  </si>
  <si>
    <r>
      <t>Bobot Isi Tanah Gambut (g/cc)</t>
    </r>
    <r>
      <rPr>
        <b/>
        <sz val="11"/>
        <color theme="1"/>
        <rFont val="Calibri"/>
        <family val="2"/>
        <scheme val="minor"/>
      </rPr>
      <t>(W)</t>
    </r>
  </si>
  <si>
    <t>65% * Carbon Stock</t>
  </si>
  <si>
    <t>Serapan CO2</t>
  </si>
  <si>
    <t>Nilai Per Pohon</t>
  </si>
  <si>
    <t>pohon/ha</t>
  </si>
  <si>
    <t>ton per ha</t>
  </si>
  <si>
    <t>kg per ha</t>
  </si>
  <si>
    <t>Kebun Plasma Nutfah (per hektar)</t>
  </si>
  <si>
    <t>Kebun Plasma Nutfah (ton total)</t>
  </si>
  <si>
    <t>g/cm3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</si>
</sst>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p-421]* #,##0.00_-;\-[$Rp-421]* #,##0.00_-;_-[$Rp-421]* &quot;-&quot;??_-;_-@_-"/>
    <numFmt numFmtId="167" formatCode="_-[$Rp-421]* #,##0_-;\-[$Rp-421]* #,##0_-;_-[$Rp-421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5" xfId="0" applyBorder="1" applyAlignment="1">
      <alignment wrapText="1"/>
    </xf>
    <xf numFmtId="0" fontId="0" fillId="0" borderId="5" xfId="0" applyBorder="1"/>
    <xf numFmtId="2" fontId="0" fillId="0" borderId="1" xfId="0" applyNumberFormat="1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wrapText="1"/>
    </xf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0" fontId="0" fillId="4" borderId="3" xfId="0" applyFill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0" fillId="3" borderId="1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0" xfId="0" applyAlignment="1">
      <alignment horizontal="right"/>
    </xf>
    <xf numFmtId="2" fontId="0" fillId="2" borderId="1" xfId="0" applyNumberFormat="1" applyFill="1" applyBorder="1"/>
    <xf numFmtId="0" fontId="3" fillId="2" borderId="1" xfId="0" applyFont="1" applyFill="1" applyBorder="1" applyAlignment="1">
      <alignment horizontal="right"/>
    </xf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9" borderId="5" xfId="0" applyFill="1" applyBorder="1" applyAlignment="1">
      <alignment vertical="center" wrapText="1"/>
    </xf>
    <xf numFmtId="0" fontId="0" fillId="9" borderId="5" xfId="0" applyFill="1" applyBorder="1" applyAlignment="1">
      <alignment wrapText="1"/>
    </xf>
    <xf numFmtId="0" fontId="0" fillId="9" borderId="1" xfId="0" applyFill="1" applyBorder="1" applyAlignment="1">
      <alignment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 wrapText="1"/>
    </xf>
    <xf numFmtId="2" fontId="0" fillId="0" borderId="0" xfId="0" applyNumberFormat="1" applyAlignment="1">
      <alignment wrapText="1"/>
    </xf>
    <xf numFmtId="4" fontId="0" fillId="9" borderId="1" xfId="0" applyNumberFormat="1" applyFill="1" applyBorder="1" applyAlignment="1">
      <alignment vertical="center" wrapText="1"/>
    </xf>
    <xf numFmtId="4" fontId="0" fillId="7" borderId="1" xfId="0" applyNumberFormat="1" applyFill="1" applyBorder="1" applyAlignment="1">
      <alignment horizontal="center" vertical="center" wrapText="1"/>
    </xf>
    <xf numFmtId="4" fontId="0" fillId="10" borderId="1" xfId="0" applyNumberFormat="1" applyFill="1" applyBorder="1" applyAlignment="1">
      <alignment horizontal="center" vertical="center" wrapText="1"/>
    </xf>
    <xf numFmtId="4" fontId="6" fillId="11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7" borderId="1" xfId="0" applyNumberFormat="1" applyFill="1" applyBorder="1"/>
    <xf numFmtId="9" fontId="0" fillId="0" borderId="1" xfId="0" applyNumberFormat="1" applyBorder="1" applyAlignment="1">
      <alignment horizontal="right"/>
    </xf>
    <xf numFmtId="4" fontId="0" fillId="0" borderId="0" xfId="0" applyNumberFormat="1" applyAlignment="1">
      <alignment horizontal="center" wrapText="1"/>
    </xf>
    <xf numFmtId="4" fontId="5" fillId="0" borderId="0" xfId="0" applyNumberFormat="1" applyFont="1" applyAlignment="1">
      <alignment horizontal="center" vertical="center"/>
    </xf>
    <xf numFmtId="3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4" fontId="0" fillId="6" borderId="8" xfId="0" applyNumberFormat="1" applyFill="1" applyBorder="1" applyAlignment="1">
      <alignment horizontal="center"/>
    </xf>
    <xf numFmtId="4" fontId="0" fillId="6" borderId="9" xfId="0" applyNumberFormat="1" applyFill="1" applyBorder="1" applyAlignment="1">
      <alignment horizontal="center"/>
    </xf>
    <xf numFmtId="4" fontId="5" fillId="8" borderId="1" xfId="0" applyNumberFormat="1" applyFont="1" applyFill="1" applyBorder="1" applyAlignment="1">
      <alignment horizontal="center" vertical="center"/>
    </xf>
    <xf numFmtId="4" fontId="0" fillId="12" borderId="2" xfId="0" applyNumberFormat="1" applyFill="1" applyBorder="1" applyAlignment="1">
      <alignment horizontal="center" vertical="center" wrapText="1"/>
    </xf>
    <xf numFmtId="4" fontId="0" fillId="12" borderId="3" xfId="0" applyNumberForma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0" fontId="0" fillId="6" borderId="2" xfId="0" applyFill="1" applyBorder="1"/>
    <xf numFmtId="0" fontId="0" fillId="6" borderId="3" xfId="0" applyFill="1" applyBorder="1"/>
    <xf numFmtId="4" fontId="0" fillId="0" borderId="1" xfId="0" applyNumberFormat="1" applyFill="1" applyBorder="1" applyAlignment="1">
      <alignment wrapText="1"/>
    </xf>
    <xf numFmtId="167" fontId="0" fillId="0" borderId="1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E8C72-16B5-425E-9757-55A95C7B2C7A}">
  <dimension ref="B2:J29"/>
  <sheetViews>
    <sheetView topLeftCell="A2" zoomScale="91" workbookViewId="0">
      <selection activeCell="G6" sqref="G6"/>
    </sheetView>
  </sheetViews>
  <sheetFormatPr defaultRowHeight="14.25" x14ac:dyDescent="0.45"/>
  <cols>
    <col min="2" max="2" width="19.6640625" style="1" customWidth="1"/>
    <col min="3" max="3" width="24.9296875" customWidth="1"/>
    <col min="4" max="4" width="19.1328125" customWidth="1"/>
    <col min="5" max="5" width="13.73046875" customWidth="1"/>
    <col min="6" max="6" width="15.06640625" customWidth="1"/>
    <col min="7" max="7" width="16.06640625" customWidth="1"/>
    <col min="8" max="8" width="13.3984375" customWidth="1"/>
  </cols>
  <sheetData>
    <row r="2" spans="2:10" x14ac:dyDescent="0.45">
      <c r="B2" s="48" t="s">
        <v>0</v>
      </c>
      <c r="C2" s="49"/>
      <c r="D2" s="49"/>
      <c r="E2" s="50"/>
    </row>
    <row r="3" spans="2:10" x14ac:dyDescent="0.45">
      <c r="B3" s="4" t="s">
        <v>1</v>
      </c>
      <c r="C3" s="5">
        <f>10*10000</f>
        <v>100000</v>
      </c>
      <c r="D3" s="5"/>
      <c r="E3" s="7" t="s">
        <v>40</v>
      </c>
      <c r="F3" t="s">
        <v>41</v>
      </c>
    </row>
    <row r="4" spans="2:10" x14ac:dyDescent="0.45">
      <c r="B4" s="2" t="s">
        <v>2</v>
      </c>
      <c r="C4" s="3">
        <v>5</v>
      </c>
      <c r="D4" s="3"/>
      <c r="E4" s="7" t="s">
        <v>17</v>
      </c>
    </row>
    <row r="5" spans="2:10" x14ac:dyDescent="0.45">
      <c r="B5" s="2" t="s">
        <v>3</v>
      </c>
      <c r="C5" s="7" t="s">
        <v>5</v>
      </c>
      <c r="D5" s="7"/>
      <c r="E5" s="7"/>
    </row>
    <row r="6" spans="2:10" x14ac:dyDescent="0.45">
      <c r="B6" s="12" t="s">
        <v>6</v>
      </c>
      <c r="C6" s="7">
        <v>2010</v>
      </c>
      <c r="D6" s="7"/>
      <c r="E6" s="19"/>
    </row>
    <row r="7" spans="2:10" x14ac:dyDescent="0.45">
      <c r="B7" s="12" t="s">
        <v>35</v>
      </c>
      <c r="C7" s="7">
        <v>14</v>
      </c>
      <c r="D7" s="7"/>
      <c r="E7" s="19" t="s">
        <v>11</v>
      </c>
    </row>
    <row r="8" spans="2:10" x14ac:dyDescent="0.45">
      <c r="B8" s="12" t="s">
        <v>29</v>
      </c>
      <c r="C8" s="7" t="s">
        <v>30</v>
      </c>
      <c r="D8" s="7"/>
      <c r="E8" s="7" t="s">
        <v>31</v>
      </c>
      <c r="F8" s="22"/>
    </row>
    <row r="9" spans="2:10" ht="13.25" customHeight="1" x14ac:dyDescent="0.45">
      <c r="B9" s="12" t="s">
        <v>32</v>
      </c>
      <c r="C9" s="44">
        <v>0.95</v>
      </c>
      <c r="D9" s="7"/>
      <c r="E9" s="7" t="s">
        <v>19</v>
      </c>
    </row>
    <row r="10" spans="2:10" ht="13.25" customHeight="1" x14ac:dyDescent="0.45">
      <c r="B10" s="12" t="s">
        <v>33</v>
      </c>
      <c r="C10" s="7">
        <f>10000/20</f>
        <v>500</v>
      </c>
      <c r="D10" s="7"/>
      <c r="E10" s="84" t="s">
        <v>34</v>
      </c>
      <c r="F10" s="87">
        <f>C10*C9</f>
        <v>475</v>
      </c>
      <c r="G10" s="88" t="s">
        <v>80</v>
      </c>
    </row>
    <row r="11" spans="2:10" x14ac:dyDescent="0.45">
      <c r="B11" s="60" t="s">
        <v>4</v>
      </c>
      <c r="C11" s="18" t="s">
        <v>24</v>
      </c>
      <c r="D11" s="18">
        <v>5</v>
      </c>
      <c r="E11" s="66" t="s">
        <v>16</v>
      </c>
      <c r="F11" s="85" t="s">
        <v>28</v>
      </c>
      <c r="G11" s="86">
        <f>475*D11</f>
        <v>2375</v>
      </c>
    </row>
    <row r="12" spans="2:10" x14ac:dyDescent="0.45">
      <c r="B12" s="61"/>
      <c r="C12" s="18" t="s">
        <v>25</v>
      </c>
      <c r="D12" s="18">
        <v>1</v>
      </c>
      <c r="E12" s="67"/>
      <c r="F12" s="55"/>
      <c r="G12" s="8">
        <f t="shared" ref="G12:G14" si="0">475*D12</f>
        <v>475</v>
      </c>
    </row>
    <row r="13" spans="2:10" x14ac:dyDescent="0.45">
      <c r="B13" s="61"/>
      <c r="C13" s="18" t="s">
        <v>27</v>
      </c>
      <c r="D13" s="18">
        <v>1</v>
      </c>
      <c r="E13" s="67"/>
      <c r="F13" s="55"/>
      <c r="G13" s="8">
        <f t="shared" si="0"/>
        <v>475</v>
      </c>
    </row>
    <row r="14" spans="2:10" x14ac:dyDescent="0.45">
      <c r="B14" s="61"/>
      <c r="C14" s="18" t="s">
        <v>26</v>
      </c>
      <c r="D14" s="18">
        <v>3</v>
      </c>
      <c r="E14" s="67"/>
      <c r="F14" s="55"/>
      <c r="G14" s="8">
        <f t="shared" si="0"/>
        <v>1425</v>
      </c>
    </row>
    <row r="15" spans="2:10" x14ac:dyDescent="0.45">
      <c r="B15" s="62" t="s">
        <v>7</v>
      </c>
      <c r="C15" s="13" t="s">
        <v>24</v>
      </c>
      <c r="D15" s="14">
        <v>214</v>
      </c>
      <c r="E15" s="56" t="s">
        <v>18</v>
      </c>
      <c r="F15" s="15" t="s">
        <v>12</v>
      </c>
      <c r="G15" s="14">
        <f>C$7*D15</f>
        <v>2996</v>
      </c>
      <c r="H15" s="56" t="s">
        <v>14</v>
      </c>
      <c r="I15" s="14">
        <f>G15/100</f>
        <v>29.96</v>
      </c>
      <c r="J15" s="56" t="s">
        <v>15</v>
      </c>
    </row>
    <row r="16" spans="2:10" x14ac:dyDescent="0.45">
      <c r="B16" s="63"/>
      <c r="C16" s="13" t="s">
        <v>25</v>
      </c>
      <c r="D16" s="14">
        <v>87</v>
      </c>
      <c r="E16" s="57"/>
      <c r="F16" s="15"/>
      <c r="G16" s="14">
        <f t="shared" ref="G16:G18" si="1">C$7*D16</f>
        <v>1218</v>
      </c>
      <c r="H16" s="57"/>
      <c r="I16" s="14">
        <f t="shared" ref="I16:I18" si="2">G16/100</f>
        <v>12.18</v>
      </c>
      <c r="J16" s="57"/>
    </row>
    <row r="17" spans="2:10" x14ac:dyDescent="0.45">
      <c r="B17" s="63"/>
      <c r="C17" s="13" t="s">
        <v>27</v>
      </c>
      <c r="D17" s="14">
        <v>87</v>
      </c>
      <c r="E17" s="57"/>
      <c r="F17" s="15"/>
      <c r="G17" s="14">
        <f t="shared" si="1"/>
        <v>1218</v>
      </c>
      <c r="H17" s="57"/>
      <c r="I17" s="14">
        <f t="shared" si="2"/>
        <v>12.18</v>
      </c>
      <c r="J17" s="57"/>
    </row>
    <row r="18" spans="2:10" x14ac:dyDescent="0.45">
      <c r="B18" s="63"/>
      <c r="C18" s="13" t="s">
        <v>26</v>
      </c>
      <c r="D18" s="14">
        <v>96</v>
      </c>
      <c r="E18" s="57"/>
      <c r="F18" s="15"/>
      <c r="G18" s="14">
        <f t="shared" si="1"/>
        <v>1344</v>
      </c>
      <c r="H18" s="57"/>
      <c r="I18" s="14">
        <f t="shared" si="2"/>
        <v>13.44</v>
      </c>
      <c r="J18" s="57"/>
    </row>
    <row r="19" spans="2:10" x14ac:dyDescent="0.45">
      <c r="B19" s="64" t="s">
        <v>8</v>
      </c>
      <c r="C19" s="16" t="s">
        <v>24</v>
      </c>
      <c r="D19" s="17">
        <v>2.83</v>
      </c>
      <c r="E19" s="58" t="s">
        <v>18</v>
      </c>
      <c r="F19" s="17" t="s">
        <v>13</v>
      </c>
      <c r="G19" s="17">
        <f>C$7*D19</f>
        <v>39.620000000000005</v>
      </c>
      <c r="H19" s="58" t="s">
        <v>14</v>
      </c>
    </row>
    <row r="20" spans="2:10" x14ac:dyDescent="0.45">
      <c r="B20" s="65"/>
      <c r="C20" s="16" t="s">
        <v>25</v>
      </c>
      <c r="D20" s="17">
        <v>1.36</v>
      </c>
      <c r="E20" s="59"/>
      <c r="F20" s="17"/>
      <c r="G20" s="17">
        <f t="shared" ref="G20:G22" si="3">C$7*D20</f>
        <v>19.040000000000003</v>
      </c>
      <c r="H20" s="59"/>
    </row>
    <row r="21" spans="2:10" x14ac:dyDescent="0.45">
      <c r="B21" s="65"/>
      <c r="C21" s="16" t="s">
        <v>27</v>
      </c>
      <c r="D21" s="17">
        <v>1.36</v>
      </c>
      <c r="E21" s="59"/>
      <c r="F21" s="17"/>
      <c r="G21" s="17">
        <f t="shared" si="3"/>
        <v>19.040000000000003</v>
      </c>
      <c r="H21" s="59"/>
    </row>
    <row r="22" spans="2:10" x14ac:dyDescent="0.45">
      <c r="B22" s="65"/>
      <c r="C22" s="16" t="s">
        <v>26</v>
      </c>
      <c r="D22" s="17">
        <v>2.36</v>
      </c>
      <c r="E22" s="59"/>
      <c r="F22" s="17"/>
      <c r="G22" s="17">
        <f t="shared" si="3"/>
        <v>33.04</v>
      </c>
      <c r="H22" s="59"/>
    </row>
    <row r="23" spans="2:10" x14ac:dyDescent="0.45">
      <c r="B23" s="51" t="s">
        <v>23</v>
      </c>
      <c r="C23" s="20" t="s">
        <v>24</v>
      </c>
      <c r="D23" s="21">
        <v>0.36</v>
      </c>
      <c r="E23" s="53" t="s">
        <v>85</v>
      </c>
    </row>
    <row r="24" spans="2:10" x14ac:dyDescent="0.45">
      <c r="B24" s="52"/>
      <c r="C24" s="20" t="s">
        <v>25</v>
      </c>
      <c r="D24" s="21">
        <v>0.84</v>
      </c>
      <c r="E24" s="54"/>
    </row>
    <row r="25" spans="2:10" x14ac:dyDescent="0.45">
      <c r="B25" s="52"/>
      <c r="C25" s="20" t="s">
        <v>27</v>
      </c>
      <c r="D25" s="23">
        <v>0.8</v>
      </c>
      <c r="E25" s="54"/>
    </row>
    <row r="26" spans="2:10" x14ac:dyDescent="0.45">
      <c r="B26" s="52"/>
      <c r="C26" s="24" t="s">
        <v>38</v>
      </c>
      <c r="D26" s="21">
        <v>0.86</v>
      </c>
      <c r="E26" s="54"/>
    </row>
    <row r="27" spans="2:10" ht="28.5" x14ac:dyDescent="0.45">
      <c r="B27" s="10" t="s">
        <v>9</v>
      </c>
      <c r="C27" s="11">
        <v>0.4</v>
      </c>
      <c r="D27" s="11"/>
      <c r="E27" s="9" t="s">
        <v>22</v>
      </c>
    </row>
    <row r="28" spans="2:10" ht="28.5" x14ac:dyDescent="0.45">
      <c r="B28" s="2" t="s">
        <v>36</v>
      </c>
      <c r="C28" s="3">
        <v>0.1716</v>
      </c>
      <c r="D28" s="3"/>
      <c r="E28" s="7" t="s">
        <v>20</v>
      </c>
    </row>
    <row r="29" spans="2:10" x14ac:dyDescent="0.45">
      <c r="B29" s="2" t="s">
        <v>10</v>
      </c>
      <c r="C29" s="6">
        <v>48</v>
      </c>
      <c r="D29" s="6"/>
      <c r="E29" s="7" t="s">
        <v>19</v>
      </c>
      <c r="F29" t="s">
        <v>37</v>
      </c>
    </row>
  </sheetData>
  <mergeCells count="13">
    <mergeCell ref="J15:J18"/>
    <mergeCell ref="B11:B14"/>
    <mergeCell ref="B15:B18"/>
    <mergeCell ref="B19:B22"/>
    <mergeCell ref="E11:E14"/>
    <mergeCell ref="E19:E22"/>
    <mergeCell ref="E15:E18"/>
    <mergeCell ref="B2:E2"/>
    <mergeCell ref="B23:B26"/>
    <mergeCell ref="E23:E26"/>
    <mergeCell ref="F11:F14"/>
    <mergeCell ref="H15:H18"/>
    <mergeCell ref="H19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6AB0-FE4F-4D3A-8536-59BD769D489A}">
  <dimension ref="A2:T26"/>
  <sheetViews>
    <sheetView tabSelected="1" zoomScale="72" workbookViewId="0">
      <selection activeCell="T4" sqref="T4"/>
    </sheetView>
  </sheetViews>
  <sheetFormatPr defaultRowHeight="14.25" x14ac:dyDescent="0.45"/>
  <cols>
    <col min="2" max="4" width="13.59765625" customWidth="1"/>
    <col min="5" max="5" width="12.9296875" customWidth="1"/>
    <col min="6" max="6" width="6.53125" customWidth="1"/>
    <col min="7" max="7" width="14.19921875" customWidth="1"/>
    <col min="8" max="8" width="10.1328125" customWidth="1"/>
    <col min="9" max="9" width="11.19921875" bestFit="1" customWidth="1"/>
    <col min="10" max="10" width="17.86328125" customWidth="1"/>
    <col min="11" max="12" width="12.1328125" bestFit="1" customWidth="1"/>
    <col min="13" max="13" width="4.1328125" customWidth="1"/>
    <col min="14" max="14" width="13.59765625" customWidth="1"/>
    <col min="15" max="15" width="13.53125" customWidth="1"/>
    <col min="16" max="16" width="23.46484375" customWidth="1"/>
    <col min="17" max="17" width="17.1328125" customWidth="1"/>
    <col min="19" max="19" width="10.6640625" bestFit="1" customWidth="1"/>
  </cols>
  <sheetData>
    <row r="2" spans="1:20" x14ac:dyDescent="0.45">
      <c r="A2" s="71" t="s">
        <v>51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26"/>
      <c r="R2" s="26"/>
    </row>
    <row r="3" spans="1:20" ht="42.75" x14ac:dyDescent="0.45">
      <c r="A3" s="73" t="s">
        <v>49</v>
      </c>
      <c r="B3" s="37" t="s">
        <v>52</v>
      </c>
      <c r="C3" s="37" t="s">
        <v>28</v>
      </c>
      <c r="D3" s="37" t="s">
        <v>53</v>
      </c>
      <c r="E3" s="37" t="s">
        <v>73</v>
      </c>
      <c r="F3" s="27"/>
      <c r="G3" s="38" t="s">
        <v>43</v>
      </c>
      <c r="H3" s="38" t="s">
        <v>44</v>
      </c>
      <c r="I3" s="39" t="s">
        <v>56</v>
      </c>
      <c r="J3" s="39" t="s">
        <v>58</v>
      </c>
      <c r="K3" s="40" t="s">
        <v>60</v>
      </c>
      <c r="L3" s="40" t="s">
        <v>61</v>
      </c>
      <c r="M3" s="27"/>
      <c r="N3" s="41" t="s">
        <v>45</v>
      </c>
      <c r="O3" s="74" t="s">
        <v>21</v>
      </c>
      <c r="P3" s="75"/>
      <c r="Q3" s="26"/>
      <c r="R3" s="26"/>
    </row>
    <row r="4" spans="1:20" ht="42.75" x14ac:dyDescent="0.45">
      <c r="A4" s="73"/>
      <c r="B4" s="25"/>
      <c r="C4" s="25"/>
      <c r="D4" s="25"/>
      <c r="E4" s="25"/>
      <c r="F4" s="27"/>
      <c r="G4" s="27" t="s">
        <v>55</v>
      </c>
      <c r="H4" s="27" t="s">
        <v>54</v>
      </c>
      <c r="I4" s="27" t="s">
        <v>57</v>
      </c>
      <c r="J4" s="27" t="s">
        <v>59</v>
      </c>
      <c r="K4" s="27" t="s">
        <v>62</v>
      </c>
      <c r="L4" s="27" t="s">
        <v>63</v>
      </c>
      <c r="M4" s="27"/>
      <c r="N4" s="42" t="s">
        <v>64</v>
      </c>
      <c r="O4" s="42" t="s">
        <v>66</v>
      </c>
      <c r="P4" s="42" t="s">
        <v>65</v>
      </c>
      <c r="Q4" s="47">
        <v>25</v>
      </c>
      <c r="R4" s="47">
        <v>15860</v>
      </c>
    </row>
    <row r="5" spans="1:20" ht="28.5" x14ac:dyDescent="0.45">
      <c r="A5" s="73"/>
      <c r="B5" s="42" t="s">
        <v>24</v>
      </c>
      <c r="C5" s="25">
        <v>2375</v>
      </c>
      <c r="D5" s="25">
        <f>asumsi!G19</f>
        <v>39.620000000000005</v>
      </c>
      <c r="E5" s="25">
        <v>0.36</v>
      </c>
      <c r="F5" s="27"/>
      <c r="G5" s="89">
        <f>E5*0.19*(D5^2.37)</f>
        <v>418.90293042697579</v>
      </c>
      <c r="H5" s="89">
        <f>0.5*G5</f>
        <v>209.45146521348789</v>
      </c>
      <c r="I5" s="89">
        <f>G5*C5</f>
        <v>994894.45976406755</v>
      </c>
      <c r="J5" s="27">
        <f>H5*C5</f>
        <v>497447.22988203377</v>
      </c>
      <c r="K5" s="27">
        <f>I5/1000</f>
        <v>994.89445976406751</v>
      </c>
      <c r="L5" s="27">
        <f>J5/1000</f>
        <v>497.44722988203375</v>
      </c>
      <c r="M5" s="27"/>
      <c r="N5" s="25">
        <f>L5*3.67</f>
        <v>1825.6313336670639</v>
      </c>
      <c r="O5" s="76">
        <f>N5*Q$4*R$4</f>
        <v>723862823.79899085</v>
      </c>
      <c r="P5" s="77"/>
      <c r="Q5" s="43">
        <f>K5/5</f>
        <v>198.97889195281351</v>
      </c>
      <c r="R5" s="68" t="s">
        <v>81</v>
      </c>
      <c r="S5" s="25">
        <f>I5/5</f>
        <v>198978.89195281352</v>
      </c>
      <c r="T5" s="68" t="s">
        <v>82</v>
      </c>
    </row>
    <row r="6" spans="1:20" ht="42.75" x14ac:dyDescent="0.45">
      <c r="A6" s="73"/>
      <c r="B6" s="42" t="s">
        <v>25</v>
      </c>
      <c r="C6" s="25">
        <v>475</v>
      </c>
      <c r="D6" s="25">
        <f>asumsi!G20</f>
        <v>19.040000000000003</v>
      </c>
      <c r="E6" s="25">
        <v>0.84</v>
      </c>
      <c r="F6" s="27"/>
      <c r="G6" s="89">
        <f t="shared" ref="G6:G8" si="0">E6*0.19*(D6^2.37)</f>
        <v>172.12483795739851</v>
      </c>
      <c r="H6" s="89">
        <f t="shared" ref="H6:H8" si="1">0.5*G6</f>
        <v>86.062418978699256</v>
      </c>
      <c r="I6" s="89">
        <f t="shared" ref="I6:I8" si="2">G6*C6</f>
        <v>81759.298029764293</v>
      </c>
      <c r="J6" s="27">
        <f t="shared" ref="J6:J8" si="3">H6*C6</f>
        <v>40879.649014882147</v>
      </c>
      <c r="K6" s="27">
        <f t="shared" ref="K6:K8" si="4">I6/1000</f>
        <v>81.759298029764295</v>
      </c>
      <c r="L6" s="27">
        <f t="shared" ref="L6:L8" si="5">J6/1000</f>
        <v>40.879649014882148</v>
      </c>
      <c r="M6" s="27"/>
      <c r="N6" s="25">
        <f t="shared" ref="N6:N8" si="6">L6*3.67</f>
        <v>150.02831188461747</v>
      </c>
      <c r="O6" s="76">
        <f t="shared" ref="O6:O8" si="7">N6*Q$4*R$4</f>
        <v>59486225.662250824</v>
      </c>
      <c r="P6" s="77"/>
      <c r="Q6" s="43">
        <f>K6</f>
        <v>81.759298029764295</v>
      </c>
      <c r="R6" s="68"/>
      <c r="S6" s="25">
        <f t="shared" ref="S6:S8" si="8">I6/5</f>
        <v>16351.859605952859</v>
      </c>
      <c r="T6" s="68"/>
    </row>
    <row r="7" spans="1:20" ht="42.75" x14ac:dyDescent="0.45">
      <c r="A7" s="73"/>
      <c r="B7" s="42" t="s">
        <v>27</v>
      </c>
      <c r="C7" s="25">
        <v>475</v>
      </c>
      <c r="D7" s="25">
        <f>asumsi!G21</f>
        <v>19.040000000000003</v>
      </c>
      <c r="E7" s="25">
        <v>0.8</v>
      </c>
      <c r="F7" s="27"/>
      <c r="G7" s="89">
        <f t="shared" si="0"/>
        <v>163.92841710228433</v>
      </c>
      <c r="H7" s="89">
        <f t="shared" si="1"/>
        <v>81.964208551142164</v>
      </c>
      <c r="I7" s="89">
        <f t="shared" si="2"/>
        <v>77865.998123585057</v>
      </c>
      <c r="J7" s="27">
        <f t="shared" si="3"/>
        <v>38932.999061792529</v>
      </c>
      <c r="K7" s="27">
        <f t="shared" si="4"/>
        <v>77.865998123585058</v>
      </c>
      <c r="L7" s="27">
        <f t="shared" si="5"/>
        <v>38.932999061792529</v>
      </c>
      <c r="M7" s="27"/>
      <c r="N7" s="25">
        <f t="shared" si="6"/>
        <v>142.88410655677859</v>
      </c>
      <c r="O7" s="76">
        <f t="shared" si="7"/>
        <v>56653548.249762714</v>
      </c>
      <c r="P7" s="77"/>
      <c r="Q7" s="43">
        <f>K7</f>
        <v>77.865998123585058</v>
      </c>
      <c r="R7" s="68"/>
      <c r="S7" s="25">
        <f t="shared" si="8"/>
        <v>15573.199624717012</v>
      </c>
      <c r="T7" s="68"/>
    </row>
    <row r="8" spans="1:20" ht="42.75" x14ac:dyDescent="0.45">
      <c r="A8" s="73"/>
      <c r="B8" s="42" t="s">
        <v>26</v>
      </c>
      <c r="C8" s="25">
        <v>1425</v>
      </c>
      <c r="D8" s="25">
        <f>asumsi!G22</f>
        <v>33.04</v>
      </c>
      <c r="E8" s="25">
        <v>0.86</v>
      </c>
      <c r="F8" s="27"/>
      <c r="G8" s="89">
        <f t="shared" si="0"/>
        <v>650.69421221185678</v>
      </c>
      <c r="H8" s="89">
        <f t="shared" si="1"/>
        <v>325.34710610592839</v>
      </c>
      <c r="I8" s="89">
        <f t="shared" si="2"/>
        <v>927239.25240189594</v>
      </c>
      <c r="J8" s="27">
        <f t="shared" si="3"/>
        <v>463619.62620094797</v>
      </c>
      <c r="K8" s="27">
        <f t="shared" si="4"/>
        <v>927.2392524018959</v>
      </c>
      <c r="L8" s="27">
        <f t="shared" si="5"/>
        <v>463.61962620094795</v>
      </c>
      <c r="M8" s="27"/>
      <c r="N8" s="25">
        <f t="shared" si="6"/>
        <v>1701.4840281574789</v>
      </c>
      <c r="O8" s="76">
        <f t="shared" si="7"/>
        <v>674638417.16444039</v>
      </c>
      <c r="P8" s="77"/>
      <c r="Q8" s="43">
        <f>K8/3</f>
        <v>309.07975080063198</v>
      </c>
      <c r="R8" s="68"/>
      <c r="S8" s="25">
        <f t="shared" si="8"/>
        <v>185447.85048037919</v>
      </c>
      <c r="T8" s="68"/>
    </row>
    <row r="9" spans="1:20" x14ac:dyDescent="0.45">
      <c r="A9" s="73"/>
      <c r="B9" s="25" t="s">
        <v>39</v>
      </c>
      <c r="C9" s="25"/>
      <c r="D9" s="25"/>
      <c r="E9" s="25"/>
      <c r="F9" s="27"/>
      <c r="G9" s="27">
        <f>SUM(G5:G8)</f>
        <v>1405.6503976985155</v>
      </c>
      <c r="H9" s="27">
        <f t="shared" ref="H9:L9" si="9">SUM(H5:H8)</f>
        <v>702.82519884925773</v>
      </c>
      <c r="I9" s="27">
        <f t="shared" si="9"/>
        <v>2081759.0083193127</v>
      </c>
      <c r="J9" s="27">
        <f t="shared" si="9"/>
        <v>1040879.5041596564</v>
      </c>
      <c r="K9" s="27">
        <f t="shared" si="9"/>
        <v>2081.7590083193127</v>
      </c>
      <c r="L9" s="27">
        <f t="shared" si="9"/>
        <v>1040.8795041596563</v>
      </c>
      <c r="M9" s="27"/>
      <c r="N9" s="27">
        <f t="shared" ref="N9" si="10">SUM(N5:N8)</f>
        <v>3820.0277802659389</v>
      </c>
      <c r="O9" s="78">
        <f t="shared" ref="O9" si="11">SUM(O5:O8)</f>
        <v>1514641014.8754449</v>
      </c>
      <c r="P9" s="79"/>
      <c r="Q9" s="26"/>
      <c r="R9" s="26"/>
    </row>
    <row r="10" spans="1:20" x14ac:dyDescent="0.45">
      <c r="A10" s="46"/>
      <c r="B10" s="26"/>
      <c r="C10" s="26"/>
      <c r="D10" s="26"/>
      <c r="E10" s="26"/>
      <c r="F10" s="28"/>
      <c r="G10" s="28"/>
      <c r="H10" s="28"/>
      <c r="I10" s="28"/>
      <c r="J10" s="28"/>
      <c r="K10" s="28"/>
      <c r="L10" s="28"/>
      <c r="M10" s="28"/>
      <c r="N10" s="28"/>
      <c r="O10" s="45"/>
      <c r="P10" s="45"/>
      <c r="Q10" s="26"/>
      <c r="R10" s="26"/>
      <c r="S10" s="47"/>
    </row>
    <row r="11" spans="1:20" x14ac:dyDescent="0.45">
      <c r="I11" s="28"/>
      <c r="K11" s="36"/>
    </row>
    <row r="12" spans="1:20" x14ac:dyDescent="0.45">
      <c r="A12" s="80" t="s">
        <v>51</v>
      </c>
      <c r="B12" s="80"/>
      <c r="C12" s="80"/>
      <c r="D12" s="80"/>
      <c r="E12" s="80"/>
      <c r="F12" s="80"/>
      <c r="G12" s="80"/>
      <c r="H12" s="80"/>
      <c r="J12" s="80" t="s">
        <v>79</v>
      </c>
      <c r="K12" s="80"/>
      <c r="L12" s="80"/>
      <c r="M12" s="80"/>
      <c r="N12" s="80"/>
      <c r="O12" s="80"/>
      <c r="P12" s="80"/>
      <c r="Q12" s="80"/>
    </row>
    <row r="13" spans="1:20" ht="42.75" x14ac:dyDescent="0.45">
      <c r="A13" s="82" t="s">
        <v>50</v>
      </c>
      <c r="B13" s="30" t="s">
        <v>52</v>
      </c>
      <c r="C13" s="31" t="s">
        <v>74</v>
      </c>
      <c r="D13" s="31" t="s">
        <v>67</v>
      </c>
      <c r="E13" s="31" t="s">
        <v>75</v>
      </c>
      <c r="F13" s="31" t="s">
        <v>46</v>
      </c>
      <c r="G13" s="31" t="s">
        <v>76</v>
      </c>
      <c r="H13" s="31" t="s">
        <v>42</v>
      </c>
      <c r="J13" s="31" t="s">
        <v>68</v>
      </c>
      <c r="K13" s="31" t="s">
        <v>47</v>
      </c>
      <c r="L13" s="31" t="s">
        <v>71</v>
      </c>
      <c r="N13" s="31" t="s">
        <v>48</v>
      </c>
      <c r="O13" s="31" t="s">
        <v>78</v>
      </c>
      <c r="P13" s="83" t="s">
        <v>21</v>
      </c>
      <c r="Q13" s="83"/>
    </row>
    <row r="14" spans="1:20" ht="28.5" x14ac:dyDescent="0.45">
      <c r="A14" s="82"/>
      <c r="B14" s="3"/>
      <c r="C14" s="2"/>
      <c r="D14" s="2"/>
      <c r="E14" s="2"/>
      <c r="F14" s="2">
        <v>0.4</v>
      </c>
      <c r="G14" s="2">
        <v>0.1716</v>
      </c>
      <c r="H14" s="2">
        <v>48</v>
      </c>
      <c r="J14" s="2" t="s">
        <v>69</v>
      </c>
      <c r="K14" s="2" t="s">
        <v>70</v>
      </c>
      <c r="L14" s="2" t="s">
        <v>72</v>
      </c>
      <c r="N14" s="2" t="s">
        <v>77</v>
      </c>
      <c r="O14" s="3"/>
      <c r="P14" s="29" t="s">
        <v>66</v>
      </c>
      <c r="Q14" s="29" t="s">
        <v>65</v>
      </c>
    </row>
    <row r="15" spans="1:20" ht="28.5" x14ac:dyDescent="0.45">
      <c r="A15" s="82"/>
      <c r="B15" s="29" t="s">
        <v>24</v>
      </c>
      <c r="C15" s="2">
        <v>6</v>
      </c>
      <c r="D15" s="2">
        <v>5</v>
      </c>
      <c r="E15" s="2">
        <f>D15*10000</f>
        <v>50000</v>
      </c>
      <c r="F15" s="2"/>
      <c r="G15" s="2"/>
      <c r="H15" s="2"/>
      <c r="J15" s="3">
        <f>I5*F$14</f>
        <v>397957.78390562703</v>
      </c>
      <c r="K15" s="3">
        <f>J15/1000</f>
        <v>397.95778390562702</v>
      </c>
      <c r="L15" s="3">
        <f>G$14*E15*C15*H$14</f>
        <v>2471040</v>
      </c>
      <c r="N15" s="3">
        <f>65%*L15</f>
        <v>1606176</v>
      </c>
      <c r="O15" s="3">
        <f>(44/12)*N15</f>
        <v>5889312</v>
      </c>
      <c r="P15" s="90">
        <f>O15*Q$4*R$4</f>
        <v>2335112208000</v>
      </c>
      <c r="Q15" s="90"/>
    </row>
    <row r="16" spans="1:20" ht="42.75" x14ac:dyDescent="0.45">
      <c r="A16" s="82"/>
      <c r="B16" s="29" t="s">
        <v>25</v>
      </c>
      <c r="C16" s="2">
        <v>6</v>
      </c>
      <c r="D16" s="2">
        <v>1</v>
      </c>
      <c r="E16" s="2">
        <f t="shared" ref="E16:E18" si="12">D16*10000</f>
        <v>10000</v>
      </c>
      <c r="F16" s="2"/>
      <c r="G16" s="2"/>
      <c r="H16" s="2"/>
      <c r="J16" s="3">
        <f>I6*F$14</f>
        <v>32703.719211905718</v>
      </c>
      <c r="K16" s="3">
        <f t="shared" ref="K16:K19" si="13">J16/1000</f>
        <v>32.703719211905721</v>
      </c>
      <c r="L16" s="3">
        <f t="shared" ref="L16:L18" si="14">G$14*E16*C16*H$14</f>
        <v>494208</v>
      </c>
      <c r="N16" s="3">
        <f t="shared" ref="N16:N18" si="15">65%*L16</f>
        <v>321235.20000000001</v>
      </c>
      <c r="O16" s="3">
        <f t="shared" ref="O16:O19" si="16">(44/12)*N16</f>
        <v>1177862.3999999999</v>
      </c>
      <c r="P16" s="90">
        <f t="shared" ref="P16:P18" si="17">O16*Q$4*R$4</f>
        <v>467022441599.99994</v>
      </c>
      <c r="Q16" s="90"/>
    </row>
    <row r="17" spans="1:17" ht="42.75" x14ac:dyDescent="0.45">
      <c r="A17" s="82"/>
      <c r="B17" s="29" t="s">
        <v>27</v>
      </c>
      <c r="C17" s="2">
        <v>6</v>
      </c>
      <c r="D17" s="2">
        <v>1</v>
      </c>
      <c r="E17" s="2">
        <f t="shared" si="12"/>
        <v>10000</v>
      </c>
      <c r="F17" s="2"/>
      <c r="G17" s="2"/>
      <c r="H17" s="2"/>
      <c r="J17" s="3">
        <f>I7*F$14</f>
        <v>31146.399249434024</v>
      </c>
      <c r="K17" s="3">
        <f t="shared" si="13"/>
        <v>31.146399249434022</v>
      </c>
      <c r="L17" s="3">
        <f t="shared" si="14"/>
        <v>494208</v>
      </c>
      <c r="N17" s="3">
        <f t="shared" si="15"/>
        <v>321235.20000000001</v>
      </c>
      <c r="O17" s="3">
        <f t="shared" si="16"/>
        <v>1177862.3999999999</v>
      </c>
      <c r="P17" s="90">
        <f t="shared" si="17"/>
        <v>467022441599.99994</v>
      </c>
      <c r="Q17" s="90"/>
    </row>
    <row r="18" spans="1:17" ht="42.75" x14ac:dyDescent="0.45">
      <c r="A18" s="82"/>
      <c r="B18" s="29" t="s">
        <v>26</v>
      </c>
      <c r="C18" s="2">
        <v>6</v>
      </c>
      <c r="D18" s="2">
        <v>3</v>
      </c>
      <c r="E18" s="2">
        <f t="shared" si="12"/>
        <v>30000</v>
      </c>
      <c r="F18" s="2"/>
      <c r="G18" s="2"/>
      <c r="H18" s="2"/>
      <c r="J18" s="3">
        <f>I8*F$14</f>
        <v>370895.70096075838</v>
      </c>
      <c r="K18" s="3">
        <f t="shared" si="13"/>
        <v>370.89570096075835</v>
      </c>
      <c r="L18" s="3">
        <f t="shared" si="14"/>
        <v>1482624</v>
      </c>
      <c r="N18" s="3">
        <f t="shared" si="15"/>
        <v>963705.6</v>
      </c>
      <c r="O18" s="3">
        <f t="shared" si="16"/>
        <v>3533587.1999999997</v>
      </c>
      <c r="P18" s="90">
        <f t="shared" si="17"/>
        <v>1401067324800</v>
      </c>
      <c r="Q18" s="90"/>
    </row>
    <row r="19" spans="1:17" x14ac:dyDescent="0.45">
      <c r="A19" s="82"/>
      <c r="B19" s="3" t="s">
        <v>39</v>
      </c>
      <c r="C19" s="3"/>
      <c r="D19" s="3"/>
      <c r="E19" s="3"/>
      <c r="F19" s="3"/>
      <c r="G19" s="3"/>
      <c r="H19" s="3"/>
      <c r="J19" s="3">
        <f>SUM(J15:J18)</f>
        <v>832703.60332772508</v>
      </c>
      <c r="K19" s="3">
        <f t="shared" si="13"/>
        <v>832.70360332772509</v>
      </c>
      <c r="L19" s="3">
        <f>SUM(L15:L18)</f>
        <v>4942080</v>
      </c>
      <c r="N19" s="3">
        <f>SUM(N15:N18)</f>
        <v>3212352</v>
      </c>
      <c r="O19" s="3">
        <f t="shared" si="16"/>
        <v>11778624</v>
      </c>
      <c r="P19" s="91">
        <f>SUM(P15:Q18)</f>
        <v>4670224416000</v>
      </c>
      <c r="Q19" s="92"/>
    </row>
    <row r="21" spans="1:17" ht="42.75" x14ac:dyDescent="0.45">
      <c r="A21" s="82" t="s">
        <v>50</v>
      </c>
      <c r="B21" s="3"/>
      <c r="C21" s="32" t="s">
        <v>74</v>
      </c>
      <c r="D21" s="32" t="s">
        <v>67</v>
      </c>
      <c r="E21" s="32" t="s">
        <v>75</v>
      </c>
      <c r="F21" s="32"/>
      <c r="G21" s="32" t="s">
        <v>76</v>
      </c>
      <c r="H21" s="32" t="s">
        <v>42</v>
      </c>
      <c r="J21" s="32" t="s">
        <v>71</v>
      </c>
      <c r="K21" s="32" t="s">
        <v>48</v>
      </c>
      <c r="L21" s="32" t="s">
        <v>78</v>
      </c>
      <c r="N21" s="81" t="s">
        <v>21</v>
      </c>
      <c r="O21" s="81"/>
    </row>
    <row r="22" spans="1:17" ht="28.5" x14ac:dyDescent="0.45">
      <c r="A22" s="82"/>
      <c r="B22" s="3"/>
      <c r="C22" s="2"/>
      <c r="D22" s="2"/>
      <c r="E22" s="2"/>
      <c r="F22" s="2"/>
      <c r="G22" s="2"/>
      <c r="H22" s="2"/>
      <c r="J22" s="10" t="s">
        <v>72</v>
      </c>
      <c r="K22" s="2" t="s">
        <v>77</v>
      </c>
      <c r="L22" s="3"/>
      <c r="N22" s="29" t="s">
        <v>66</v>
      </c>
      <c r="O22" s="29" t="s">
        <v>65</v>
      </c>
    </row>
    <row r="23" spans="1:17" ht="42.75" x14ac:dyDescent="0.45">
      <c r="A23" s="82"/>
      <c r="B23" s="2" t="s">
        <v>84</v>
      </c>
      <c r="C23" s="3">
        <v>6</v>
      </c>
      <c r="D23" s="3">
        <v>10</v>
      </c>
      <c r="E23" s="3">
        <f>D23*10000</f>
        <v>100000</v>
      </c>
      <c r="F23" s="3"/>
      <c r="G23" s="10">
        <v>0.1716</v>
      </c>
      <c r="H23" s="35">
        <v>0.48</v>
      </c>
      <c r="J23" s="33">
        <f>G23*C23*E23*H23</f>
        <v>49420.799999999996</v>
      </c>
      <c r="K23" s="34">
        <f>65%*J23</f>
        <v>32123.519999999997</v>
      </c>
      <c r="L23" s="34">
        <f>(44/12)*K23</f>
        <v>117786.23999999999</v>
      </c>
      <c r="N23" s="69">
        <f>L23*Q$4*R$4</f>
        <v>46702244160</v>
      </c>
      <c r="O23" s="70"/>
    </row>
    <row r="24" spans="1:17" ht="42.75" x14ac:dyDescent="0.45">
      <c r="A24" s="82"/>
      <c r="B24" s="2" t="s">
        <v>83</v>
      </c>
      <c r="C24" s="3">
        <v>6</v>
      </c>
      <c r="D24" s="3">
        <v>1</v>
      </c>
      <c r="E24" s="3">
        <f>D24*10000</f>
        <v>10000</v>
      </c>
      <c r="F24" s="3"/>
      <c r="G24" s="10">
        <v>0.1716</v>
      </c>
      <c r="H24" s="35">
        <v>0.48</v>
      </c>
      <c r="J24" s="33">
        <f>G24*C24*E24*H24</f>
        <v>4942.08</v>
      </c>
      <c r="K24" s="34">
        <f>65%*J24</f>
        <v>3212.3519999999999</v>
      </c>
      <c r="L24" s="34">
        <f>(44/12)*K24</f>
        <v>11778.624</v>
      </c>
      <c r="N24" s="69">
        <f>L24*Q$4*R$4</f>
        <v>4670224416</v>
      </c>
      <c r="O24" s="70"/>
    </row>
    <row r="25" spans="1:17" x14ac:dyDescent="0.45">
      <c r="A25" s="82"/>
    </row>
    <row r="26" spans="1:17" x14ac:dyDescent="0.45">
      <c r="A26" s="82"/>
    </row>
  </sheetData>
  <mergeCells count="23">
    <mergeCell ref="A12:H12"/>
    <mergeCell ref="A21:A26"/>
    <mergeCell ref="P13:Q13"/>
    <mergeCell ref="P15:Q15"/>
    <mergeCell ref="P16:Q16"/>
    <mergeCell ref="P17:Q17"/>
    <mergeCell ref="P18:Q18"/>
    <mergeCell ref="P19:Q19"/>
    <mergeCell ref="T5:T8"/>
    <mergeCell ref="N24:O24"/>
    <mergeCell ref="A2:P2"/>
    <mergeCell ref="R5:R8"/>
    <mergeCell ref="A3:A9"/>
    <mergeCell ref="O3:P3"/>
    <mergeCell ref="O5:P5"/>
    <mergeCell ref="O6:P6"/>
    <mergeCell ref="O7:P7"/>
    <mergeCell ref="O8:P8"/>
    <mergeCell ref="O9:P9"/>
    <mergeCell ref="J12:Q12"/>
    <mergeCell ref="N21:O21"/>
    <mergeCell ref="N23:O23"/>
    <mergeCell ref="A13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2</vt:i4>
      </vt:variant>
    </vt:vector>
  </HeadingPairs>
  <TitlesOfParts>
    <vt:vector size="2" baseType="lpstr">
      <vt:lpstr>asumsi</vt:lpstr>
      <vt:lpstr>Olah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Olce Veronica</dc:creator>
  <cp:lastModifiedBy>Olce Veronica</cp:lastModifiedBy>
  <dcterms:created xsi:type="dcterms:W3CDTF">2024-06-07T05:03:17Z</dcterms:created>
  <dcterms:modified xsi:type="dcterms:W3CDTF">2025-03-03T04:22:31Z</dcterms:modified>
</cp:coreProperties>
</file>