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Data Poltek\Publikasi\Ergonomi\"/>
    </mc:Choice>
  </mc:AlternateContent>
  <xr:revisionPtr revIDLastSave="0" documentId="13_ncr:1_{FB0ACA33-9ABA-4F2A-8497-4B5BE3A1F8A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ta Mentah" sheetId="1" r:id="rId1"/>
    <sheet name="Usulan Perbaikan" sheetId="9" r:id="rId2"/>
    <sheet name="Mismatch" sheetId="7" r:id="rId3"/>
    <sheet name="Uji Kecukupan Data" sheetId="2" r:id="rId4"/>
    <sheet name="Uji Keseragaman Data" sheetId="3" r:id="rId5"/>
    <sheet name="Uji Normalitas Data" sheetId="4" r:id="rId6"/>
    <sheet name="Dimensi Akhir Kursi" sheetId="5" r:id="rId7"/>
  </sheets>
  <definedNames>
    <definedName name="_xlnm._FilterDatabase" localSheetId="2" hidden="1">Mismatch!$A$2:$F$2</definedName>
    <definedName name="_xlnm._FilterDatabase" localSheetId="1" hidden="1">'Usulan Perbaikan'!$A$2:$F$2</definedName>
  </definedNames>
  <calcPr calcId="181029"/>
  <extLst>
    <ext uri="GoogleSheetsCustomDataVersion2">
      <go:sheetsCustomData xmlns:go="http://customooxmlschemas.google.com/" r:id="rId9" roundtripDataChecksum="jM20ndzHkfuvNF6tzBG7tPVg3n7R08NZKYX3cLYCZgE="/>
    </ext>
  </extLst>
</workbook>
</file>

<file path=xl/calcChain.xml><?xml version="1.0" encoding="utf-8"?>
<calcChain xmlns="http://schemas.openxmlformats.org/spreadsheetml/2006/main">
  <c r="N43" i="9" l="1"/>
  <c r="M43" i="9"/>
  <c r="L43" i="9"/>
  <c r="K43" i="9"/>
  <c r="J43" i="9"/>
  <c r="K20" i="9"/>
  <c r="L20" i="9"/>
  <c r="M20" i="9"/>
  <c r="N20" i="9"/>
  <c r="J20" i="9"/>
  <c r="C101" i="9"/>
  <c r="D101" i="9"/>
  <c r="E101" i="9"/>
  <c r="F101" i="9"/>
  <c r="G101" i="9"/>
  <c r="C102" i="9"/>
  <c r="D102" i="9"/>
  <c r="E102" i="9"/>
  <c r="F102" i="9"/>
  <c r="G102" i="9"/>
  <c r="C103" i="9"/>
  <c r="D103" i="9"/>
  <c r="E103" i="9"/>
  <c r="F103" i="9"/>
  <c r="G103" i="9"/>
  <c r="C104" i="9"/>
  <c r="D104" i="9"/>
  <c r="E104" i="9"/>
  <c r="F104" i="9"/>
  <c r="G104" i="9"/>
  <c r="C105" i="9"/>
  <c r="D105" i="9"/>
  <c r="E105" i="9"/>
  <c r="F105" i="9"/>
  <c r="G105" i="9"/>
  <c r="C106" i="9"/>
  <c r="D106" i="9"/>
  <c r="E106" i="9"/>
  <c r="F106" i="9"/>
  <c r="G106" i="9"/>
  <c r="C107" i="9"/>
  <c r="D107" i="9"/>
  <c r="E107" i="9"/>
  <c r="F107" i="9"/>
  <c r="G107" i="9"/>
  <c r="C108" i="9"/>
  <c r="D108" i="9"/>
  <c r="E108" i="9"/>
  <c r="F108" i="9"/>
  <c r="G108" i="9"/>
  <c r="C109" i="9"/>
  <c r="D109" i="9"/>
  <c r="E109" i="9"/>
  <c r="F109" i="9"/>
  <c r="G109" i="9"/>
  <c r="C110" i="9"/>
  <c r="D110" i="9"/>
  <c r="E110" i="9"/>
  <c r="F110" i="9"/>
  <c r="G110" i="9"/>
  <c r="C111" i="9"/>
  <c r="D111" i="9"/>
  <c r="E111" i="9"/>
  <c r="F111" i="9"/>
  <c r="G111" i="9"/>
  <c r="C112" i="9"/>
  <c r="D112" i="9"/>
  <c r="E112" i="9"/>
  <c r="F112" i="9"/>
  <c r="G112" i="9"/>
  <c r="C113" i="9"/>
  <c r="D113" i="9"/>
  <c r="E113" i="9"/>
  <c r="F113" i="9"/>
  <c r="G113" i="9"/>
  <c r="C114" i="9"/>
  <c r="D114" i="9"/>
  <c r="E114" i="9"/>
  <c r="F114" i="9"/>
  <c r="G114" i="9"/>
  <c r="C115" i="9"/>
  <c r="D115" i="9"/>
  <c r="E115" i="9"/>
  <c r="F115" i="9"/>
  <c r="G115" i="9"/>
  <c r="D100" i="9"/>
  <c r="E100" i="9"/>
  <c r="F100" i="9"/>
  <c r="G100" i="9"/>
  <c r="C100" i="9"/>
  <c r="C85" i="9"/>
  <c r="D85" i="9"/>
  <c r="E85" i="9"/>
  <c r="F85" i="9"/>
  <c r="G85" i="9"/>
  <c r="C86" i="9"/>
  <c r="D86" i="9"/>
  <c r="E86" i="9"/>
  <c r="F86" i="9"/>
  <c r="G86" i="9"/>
  <c r="C87" i="9"/>
  <c r="D87" i="9"/>
  <c r="E87" i="9"/>
  <c r="F87" i="9"/>
  <c r="G87" i="9"/>
  <c r="C88" i="9"/>
  <c r="D88" i="9"/>
  <c r="E88" i="9"/>
  <c r="F88" i="9"/>
  <c r="G88" i="9"/>
  <c r="C89" i="9"/>
  <c r="D89" i="9"/>
  <c r="E89" i="9"/>
  <c r="F89" i="9"/>
  <c r="G89" i="9"/>
  <c r="C90" i="9"/>
  <c r="D90" i="9"/>
  <c r="E90" i="9"/>
  <c r="F90" i="9"/>
  <c r="G90" i="9"/>
  <c r="C91" i="9"/>
  <c r="D91" i="9"/>
  <c r="E91" i="9"/>
  <c r="F91" i="9"/>
  <c r="G91" i="9"/>
  <c r="C92" i="9"/>
  <c r="D92" i="9"/>
  <c r="E92" i="9"/>
  <c r="F92" i="9"/>
  <c r="G92" i="9"/>
  <c r="C93" i="9"/>
  <c r="D93" i="9"/>
  <c r="E93" i="9"/>
  <c r="F93" i="9"/>
  <c r="G93" i="9"/>
  <c r="C94" i="9"/>
  <c r="D94" i="9"/>
  <c r="E94" i="9"/>
  <c r="F94" i="9"/>
  <c r="G94" i="9"/>
  <c r="C95" i="9"/>
  <c r="D95" i="9"/>
  <c r="E95" i="9"/>
  <c r="F95" i="9"/>
  <c r="G95" i="9"/>
  <c r="C96" i="9"/>
  <c r="D96" i="9"/>
  <c r="E96" i="9"/>
  <c r="F96" i="9"/>
  <c r="G96" i="9"/>
  <c r="C97" i="9"/>
  <c r="D97" i="9"/>
  <c r="E97" i="9"/>
  <c r="F97" i="9"/>
  <c r="G97" i="9"/>
  <c r="C98" i="9"/>
  <c r="D98" i="9"/>
  <c r="E98" i="9"/>
  <c r="F98" i="9"/>
  <c r="G98" i="9"/>
  <c r="C99" i="9"/>
  <c r="D99" i="9"/>
  <c r="E99" i="9"/>
  <c r="F99" i="9"/>
  <c r="G99" i="9"/>
  <c r="D84" i="9"/>
  <c r="E84" i="9"/>
  <c r="F84" i="9"/>
  <c r="G84" i="9"/>
  <c r="C84" i="9"/>
  <c r="K45" i="9" l="1"/>
  <c r="L45" i="9"/>
  <c r="M45" i="9"/>
  <c r="N45" i="9"/>
  <c r="J45" i="9"/>
  <c r="L79" i="9"/>
  <c r="L78" i="9"/>
  <c r="G48" i="9"/>
  <c r="S65" i="9" s="1"/>
  <c r="F48" i="9"/>
  <c r="Q65" i="9" s="1"/>
  <c r="E48" i="9"/>
  <c r="O65" i="9" s="1"/>
  <c r="D48" i="9"/>
  <c r="M66" i="9" s="1"/>
  <c r="C48" i="9"/>
  <c r="K66" i="9" s="1"/>
  <c r="G47" i="9"/>
  <c r="S64" i="9" s="1"/>
  <c r="F47" i="9"/>
  <c r="Q64" i="9" s="1"/>
  <c r="E47" i="9"/>
  <c r="O64" i="9" s="1"/>
  <c r="D47" i="9"/>
  <c r="M65" i="9" s="1"/>
  <c r="C47" i="9"/>
  <c r="K65" i="9" s="1"/>
  <c r="G46" i="9"/>
  <c r="S63" i="9" s="1"/>
  <c r="F46" i="9"/>
  <c r="Q63" i="9" s="1"/>
  <c r="E46" i="9"/>
  <c r="O63" i="9" s="1"/>
  <c r="D46" i="9"/>
  <c r="M64" i="9" s="1"/>
  <c r="C46" i="9"/>
  <c r="K64" i="9" s="1"/>
  <c r="G45" i="9"/>
  <c r="S62" i="9" s="1"/>
  <c r="F45" i="9"/>
  <c r="Q62" i="9" s="1"/>
  <c r="E45" i="9"/>
  <c r="O62" i="9" s="1"/>
  <c r="D45" i="9"/>
  <c r="M63" i="9" s="1"/>
  <c r="C45" i="9"/>
  <c r="K63" i="9" s="1"/>
  <c r="G44" i="9"/>
  <c r="S61" i="9" s="1"/>
  <c r="F44" i="9"/>
  <c r="Q61" i="9" s="1"/>
  <c r="E44" i="9"/>
  <c r="O61" i="9" s="1"/>
  <c r="D44" i="9"/>
  <c r="M62" i="9" s="1"/>
  <c r="C44" i="9"/>
  <c r="K62" i="9" s="1"/>
  <c r="G43" i="9"/>
  <c r="S60" i="9" s="1"/>
  <c r="F43" i="9"/>
  <c r="Q60" i="9" s="1"/>
  <c r="E43" i="9"/>
  <c r="O60" i="9" s="1"/>
  <c r="D43" i="9"/>
  <c r="M61" i="9" s="1"/>
  <c r="C43" i="9"/>
  <c r="K61" i="9" s="1"/>
  <c r="G42" i="9"/>
  <c r="S59" i="9" s="1"/>
  <c r="F42" i="9"/>
  <c r="Q59" i="9" s="1"/>
  <c r="E42" i="9"/>
  <c r="O59" i="9" s="1"/>
  <c r="D42" i="9"/>
  <c r="M60" i="9" s="1"/>
  <c r="C42" i="9"/>
  <c r="K60" i="9" s="1"/>
  <c r="G25" i="9"/>
  <c r="R65" i="9" s="1"/>
  <c r="F25" i="9"/>
  <c r="P65" i="9" s="1"/>
  <c r="E25" i="9"/>
  <c r="N66" i="9" s="1"/>
  <c r="D25" i="9"/>
  <c r="L66" i="9" s="1"/>
  <c r="C25" i="9"/>
  <c r="J66" i="9" s="1"/>
  <c r="G24" i="9"/>
  <c r="R64" i="9" s="1"/>
  <c r="F24" i="9"/>
  <c r="E24" i="9"/>
  <c r="I3" i="9" s="1"/>
  <c r="D24" i="9"/>
  <c r="L65" i="9" s="1"/>
  <c r="C24" i="9"/>
  <c r="G23" i="9"/>
  <c r="R63" i="9" s="1"/>
  <c r="F23" i="9"/>
  <c r="P63" i="9" s="1"/>
  <c r="E23" i="9"/>
  <c r="N64" i="9" s="1"/>
  <c r="D23" i="9"/>
  <c r="L64" i="9" s="1"/>
  <c r="C23" i="9"/>
  <c r="J64" i="9" s="1"/>
  <c r="G22" i="9"/>
  <c r="R62" i="9" s="1"/>
  <c r="F22" i="9"/>
  <c r="P62" i="9" s="1"/>
  <c r="E22" i="9"/>
  <c r="N63" i="9" s="1"/>
  <c r="D22" i="9"/>
  <c r="L63" i="9" s="1"/>
  <c r="C22" i="9"/>
  <c r="J63" i="9" s="1"/>
  <c r="G21" i="9"/>
  <c r="R61" i="9" s="1"/>
  <c r="F21" i="9"/>
  <c r="P61" i="9" s="1"/>
  <c r="E21" i="9"/>
  <c r="N62" i="9" s="1"/>
  <c r="D21" i="9"/>
  <c r="L62" i="9" s="1"/>
  <c r="C21" i="9"/>
  <c r="J62" i="9" s="1"/>
  <c r="G20" i="9"/>
  <c r="R60" i="9" s="1"/>
  <c r="F20" i="9"/>
  <c r="P60" i="9" s="1"/>
  <c r="E20" i="9"/>
  <c r="N61" i="9" s="1"/>
  <c r="D20" i="9"/>
  <c r="L61" i="9" s="1"/>
  <c r="C20" i="9"/>
  <c r="J61" i="9" s="1"/>
  <c r="G19" i="9"/>
  <c r="R59" i="9" s="1"/>
  <c r="F19" i="9"/>
  <c r="P59" i="9" s="1"/>
  <c r="E19" i="9"/>
  <c r="N60" i="9" s="1"/>
  <c r="D19" i="9"/>
  <c r="L60" i="9" s="1"/>
  <c r="C19" i="9"/>
  <c r="J60" i="9" s="1"/>
  <c r="P4" i="9"/>
  <c r="K44" i="7"/>
  <c r="L44" i="7"/>
  <c r="M44" i="7"/>
  <c r="N44" i="7"/>
  <c r="J44" i="7"/>
  <c r="R60" i="7"/>
  <c r="S60" i="7"/>
  <c r="R61" i="7"/>
  <c r="S61" i="7"/>
  <c r="R62" i="7"/>
  <c r="S62" i="7"/>
  <c r="R63" i="7"/>
  <c r="S63" i="7"/>
  <c r="R64" i="7"/>
  <c r="S64" i="7"/>
  <c r="R65" i="7"/>
  <c r="S65" i="7"/>
  <c r="S59" i="7"/>
  <c r="R59" i="7"/>
  <c r="N42" i="7"/>
  <c r="M42" i="7"/>
  <c r="L42" i="7"/>
  <c r="K42" i="7"/>
  <c r="J42" i="7"/>
  <c r="N19" i="7"/>
  <c r="M19" i="7"/>
  <c r="L19" i="7"/>
  <c r="K19" i="7"/>
  <c r="J19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3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26" i="7"/>
  <c r="G48" i="7"/>
  <c r="F48" i="7"/>
  <c r="E48" i="7"/>
  <c r="O65" i="7" s="1"/>
  <c r="D48" i="7"/>
  <c r="M65" i="7" s="1"/>
  <c r="C48" i="7"/>
  <c r="G47" i="7"/>
  <c r="F47" i="7"/>
  <c r="E47" i="7"/>
  <c r="O64" i="7" s="1"/>
  <c r="D47" i="7"/>
  <c r="C47" i="7"/>
  <c r="G46" i="7"/>
  <c r="F46" i="7"/>
  <c r="E46" i="7"/>
  <c r="D46" i="7"/>
  <c r="C46" i="7"/>
  <c r="K63" i="7" s="1"/>
  <c r="G45" i="7"/>
  <c r="F45" i="7"/>
  <c r="E45" i="7"/>
  <c r="D45" i="7"/>
  <c r="M62" i="7" s="1"/>
  <c r="C45" i="7"/>
  <c r="K62" i="7" s="1"/>
  <c r="G44" i="7"/>
  <c r="F44" i="7"/>
  <c r="E44" i="7"/>
  <c r="O61" i="7" s="1"/>
  <c r="D44" i="7"/>
  <c r="M61" i="7" s="1"/>
  <c r="C44" i="7"/>
  <c r="G43" i="7"/>
  <c r="F43" i="7"/>
  <c r="E43" i="7"/>
  <c r="O60" i="7" s="1"/>
  <c r="D43" i="7"/>
  <c r="C43" i="7"/>
  <c r="G42" i="7"/>
  <c r="F42" i="7"/>
  <c r="E42" i="7"/>
  <c r="D42" i="7"/>
  <c r="C42" i="7"/>
  <c r="G19" i="7"/>
  <c r="G20" i="7"/>
  <c r="G21" i="7"/>
  <c r="G22" i="7"/>
  <c r="G23" i="7"/>
  <c r="G24" i="7"/>
  <c r="G25" i="7"/>
  <c r="L78" i="7"/>
  <c r="L77" i="7"/>
  <c r="W41" i="7"/>
  <c r="V41" i="7"/>
  <c r="U41" i="7"/>
  <c r="T41" i="7"/>
  <c r="S41" i="7"/>
  <c r="R41" i="7"/>
  <c r="Q41" i="7"/>
  <c r="P41" i="7"/>
  <c r="W40" i="7"/>
  <c r="V40" i="7"/>
  <c r="U40" i="7"/>
  <c r="T40" i="7"/>
  <c r="S40" i="7"/>
  <c r="R40" i="7"/>
  <c r="Q40" i="7"/>
  <c r="P40" i="7"/>
  <c r="W39" i="7"/>
  <c r="V39" i="7"/>
  <c r="U39" i="7"/>
  <c r="T39" i="7"/>
  <c r="S39" i="7"/>
  <c r="R39" i="7"/>
  <c r="Q39" i="7"/>
  <c r="P39" i="7"/>
  <c r="W38" i="7"/>
  <c r="V38" i="7"/>
  <c r="U38" i="7"/>
  <c r="T38" i="7"/>
  <c r="S38" i="7"/>
  <c r="R38" i="7"/>
  <c r="Q38" i="7"/>
  <c r="P38" i="7"/>
  <c r="W37" i="7"/>
  <c r="V37" i="7"/>
  <c r="U37" i="7"/>
  <c r="T37" i="7"/>
  <c r="S37" i="7"/>
  <c r="R37" i="7"/>
  <c r="Q37" i="7"/>
  <c r="P37" i="7"/>
  <c r="W36" i="7"/>
  <c r="V36" i="7"/>
  <c r="U36" i="7"/>
  <c r="T36" i="7"/>
  <c r="S36" i="7"/>
  <c r="R36" i="7"/>
  <c r="Q36" i="7"/>
  <c r="P36" i="7"/>
  <c r="W35" i="7"/>
  <c r="V35" i="7"/>
  <c r="U35" i="7"/>
  <c r="T35" i="7"/>
  <c r="S35" i="7"/>
  <c r="R35" i="7"/>
  <c r="Q35" i="7"/>
  <c r="P35" i="7"/>
  <c r="W34" i="7"/>
  <c r="V34" i="7"/>
  <c r="U34" i="7"/>
  <c r="T34" i="7"/>
  <c r="S34" i="7"/>
  <c r="R34" i="7"/>
  <c r="Q34" i="7"/>
  <c r="P34" i="7"/>
  <c r="W33" i="7"/>
  <c r="V33" i="7"/>
  <c r="U33" i="7"/>
  <c r="T33" i="7"/>
  <c r="S33" i="7"/>
  <c r="R33" i="7"/>
  <c r="Q33" i="7"/>
  <c r="P33" i="7"/>
  <c r="W32" i="7"/>
  <c r="V32" i="7"/>
  <c r="U32" i="7"/>
  <c r="T32" i="7"/>
  <c r="S32" i="7"/>
  <c r="R32" i="7"/>
  <c r="Q32" i="7"/>
  <c r="P32" i="7"/>
  <c r="W31" i="7"/>
  <c r="V31" i="7"/>
  <c r="U31" i="7"/>
  <c r="T31" i="7"/>
  <c r="S31" i="7"/>
  <c r="R31" i="7"/>
  <c r="Q31" i="7"/>
  <c r="P31" i="7"/>
  <c r="W30" i="7"/>
  <c r="V30" i="7"/>
  <c r="U30" i="7"/>
  <c r="T30" i="7"/>
  <c r="S30" i="7"/>
  <c r="R30" i="7"/>
  <c r="Q30" i="7"/>
  <c r="P30" i="7"/>
  <c r="W29" i="7"/>
  <c r="V29" i="7"/>
  <c r="U29" i="7"/>
  <c r="T29" i="7"/>
  <c r="S29" i="7"/>
  <c r="R29" i="7"/>
  <c r="Q29" i="7"/>
  <c r="P29" i="7"/>
  <c r="W28" i="7"/>
  <c r="V28" i="7"/>
  <c r="U28" i="7"/>
  <c r="T28" i="7"/>
  <c r="S28" i="7"/>
  <c r="R28" i="7"/>
  <c r="Q28" i="7"/>
  <c r="P28" i="7"/>
  <c r="W27" i="7"/>
  <c r="V27" i="7"/>
  <c r="U27" i="7"/>
  <c r="T27" i="7"/>
  <c r="S27" i="7"/>
  <c r="R27" i="7"/>
  <c r="Q27" i="7"/>
  <c r="P27" i="7"/>
  <c r="W26" i="7"/>
  <c r="V26" i="7"/>
  <c r="U26" i="7"/>
  <c r="T26" i="7"/>
  <c r="S26" i="7"/>
  <c r="R26" i="7"/>
  <c r="Q26" i="7"/>
  <c r="P26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3" i="7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3" i="7"/>
  <c r="T4" i="7"/>
  <c r="U4" i="7"/>
  <c r="T5" i="7"/>
  <c r="U5" i="7"/>
  <c r="T6" i="7"/>
  <c r="U6" i="7"/>
  <c r="T7" i="7"/>
  <c r="U7" i="7"/>
  <c r="T8" i="7"/>
  <c r="U8" i="7"/>
  <c r="T9" i="7"/>
  <c r="U9" i="7"/>
  <c r="T10" i="7"/>
  <c r="U10" i="7"/>
  <c r="T11" i="7"/>
  <c r="U11" i="7"/>
  <c r="T12" i="7"/>
  <c r="U12" i="7"/>
  <c r="T13" i="7"/>
  <c r="U13" i="7"/>
  <c r="T14" i="7"/>
  <c r="U14" i="7"/>
  <c r="T15" i="7"/>
  <c r="U15" i="7"/>
  <c r="T16" i="7"/>
  <c r="U16" i="7"/>
  <c r="T17" i="7"/>
  <c r="U17" i="7"/>
  <c r="T18" i="7"/>
  <c r="U18" i="7"/>
  <c r="U3" i="7"/>
  <c r="T3" i="7"/>
  <c r="R4" i="7"/>
  <c r="S4" i="7"/>
  <c r="R5" i="7"/>
  <c r="S5" i="7"/>
  <c r="R6" i="7"/>
  <c r="S6" i="7"/>
  <c r="R7" i="7"/>
  <c r="S7" i="7"/>
  <c r="R8" i="7"/>
  <c r="S8" i="7"/>
  <c r="R9" i="7"/>
  <c r="S9" i="7"/>
  <c r="R10" i="7"/>
  <c r="S10" i="7"/>
  <c r="R11" i="7"/>
  <c r="S11" i="7"/>
  <c r="R12" i="7"/>
  <c r="S12" i="7"/>
  <c r="R13" i="7"/>
  <c r="S13" i="7"/>
  <c r="R14" i="7"/>
  <c r="S14" i="7"/>
  <c r="R15" i="7"/>
  <c r="S15" i="7"/>
  <c r="R16" i="7"/>
  <c r="S16" i="7"/>
  <c r="R17" i="7"/>
  <c r="S17" i="7"/>
  <c r="R18" i="7"/>
  <c r="S18" i="7"/>
  <c r="S3" i="7"/>
  <c r="R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3" i="7"/>
  <c r="Q65" i="7"/>
  <c r="K65" i="7"/>
  <c r="Q64" i="7"/>
  <c r="M64" i="7"/>
  <c r="K64" i="7"/>
  <c r="Q63" i="7"/>
  <c r="O63" i="7"/>
  <c r="M63" i="7"/>
  <c r="Q62" i="7"/>
  <c r="O62" i="7"/>
  <c r="Q61" i="7"/>
  <c r="K61" i="7"/>
  <c r="Q60" i="7"/>
  <c r="M60" i="7"/>
  <c r="K60" i="7"/>
  <c r="Q59" i="7"/>
  <c r="O59" i="7"/>
  <c r="M59" i="7"/>
  <c r="K59" i="7"/>
  <c r="D19" i="7"/>
  <c r="L59" i="7" s="1"/>
  <c r="E19" i="7"/>
  <c r="N59" i="7" s="1"/>
  <c r="F19" i="7"/>
  <c r="P59" i="7" s="1"/>
  <c r="D20" i="7"/>
  <c r="L60" i="7" s="1"/>
  <c r="E20" i="7"/>
  <c r="N60" i="7" s="1"/>
  <c r="F20" i="7"/>
  <c r="P60" i="7" s="1"/>
  <c r="D21" i="7"/>
  <c r="L61" i="7" s="1"/>
  <c r="E21" i="7"/>
  <c r="N61" i="7" s="1"/>
  <c r="F21" i="7"/>
  <c r="P61" i="7" s="1"/>
  <c r="D22" i="7"/>
  <c r="L62" i="7" s="1"/>
  <c r="E22" i="7"/>
  <c r="N62" i="7" s="1"/>
  <c r="F22" i="7"/>
  <c r="D23" i="7"/>
  <c r="L63" i="7" s="1"/>
  <c r="E23" i="7"/>
  <c r="N63" i="7" s="1"/>
  <c r="F23" i="7"/>
  <c r="P63" i="7" s="1"/>
  <c r="D24" i="7"/>
  <c r="L64" i="7" s="1"/>
  <c r="E24" i="7"/>
  <c r="N64" i="7" s="1"/>
  <c r="F24" i="7"/>
  <c r="P64" i="7" s="1"/>
  <c r="D25" i="7"/>
  <c r="L65" i="7" s="1"/>
  <c r="E25" i="7"/>
  <c r="N65" i="7" s="1"/>
  <c r="F25" i="7"/>
  <c r="P65" i="7" s="1"/>
  <c r="C25" i="7"/>
  <c r="J65" i="7" s="1"/>
  <c r="C24" i="7"/>
  <c r="J64" i="7" s="1"/>
  <c r="C23" i="7"/>
  <c r="J63" i="7" s="1"/>
  <c r="C22" i="7"/>
  <c r="J62" i="7" s="1"/>
  <c r="C21" i="7"/>
  <c r="J61" i="7" s="1"/>
  <c r="C20" i="7"/>
  <c r="J60" i="7" s="1"/>
  <c r="C19" i="7"/>
  <c r="N41" i="7"/>
  <c r="M41" i="7"/>
  <c r="L41" i="7"/>
  <c r="K41" i="7"/>
  <c r="J41" i="7"/>
  <c r="N40" i="7"/>
  <c r="M40" i="7"/>
  <c r="L40" i="7"/>
  <c r="K40" i="7"/>
  <c r="J40" i="7"/>
  <c r="N39" i="7"/>
  <c r="M39" i="7"/>
  <c r="L39" i="7"/>
  <c r="K39" i="7"/>
  <c r="J39" i="7"/>
  <c r="N38" i="7"/>
  <c r="M38" i="7"/>
  <c r="L38" i="7"/>
  <c r="K38" i="7"/>
  <c r="J38" i="7"/>
  <c r="N37" i="7"/>
  <c r="M37" i="7"/>
  <c r="L37" i="7"/>
  <c r="K37" i="7"/>
  <c r="J37" i="7"/>
  <c r="N36" i="7"/>
  <c r="M36" i="7"/>
  <c r="L36" i="7"/>
  <c r="K36" i="7"/>
  <c r="J36" i="7"/>
  <c r="N35" i="7"/>
  <c r="M35" i="7"/>
  <c r="L35" i="7"/>
  <c r="K35" i="7"/>
  <c r="J35" i="7"/>
  <c r="N34" i="7"/>
  <c r="M34" i="7"/>
  <c r="L34" i="7"/>
  <c r="K34" i="7"/>
  <c r="J34" i="7"/>
  <c r="N33" i="7"/>
  <c r="M33" i="7"/>
  <c r="L33" i="7"/>
  <c r="K33" i="7"/>
  <c r="J33" i="7"/>
  <c r="N32" i="7"/>
  <c r="M32" i="7"/>
  <c r="L32" i="7"/>
  <c r="K32" i="7"/>
  <c r="J32" i="7"/>
  <c r="N31" i="7"/>
  <c r="M31" i="7"/>
  <c r="L31" i="7"/>
  <c r="K31" i="7"/>
  <c r="J31" i="7"/>
  <c r="N30" i="7"/>
  <c r="M30" i="7"/>
  <c r="L30" i="7"/>
  <c r="K30" i="7"/>
  <c r="J30" i="7"/>
  <c r="N29" i="7"/>
  <c r="M29" i="7"/>
  <c r="L29" i="7"/>
  <c r="K29" i="7"/>
  <c r="J29" i="7"/>
  <c r="N28" i="7"/>
  <c r="M28" i="7"/>
  <c r="L28" i="7"/>
  <c r="K28" i="7"/>
  <c r="J28" i="7"/>
  <c r="N27" i="7"/>
  <c r="M27" i="7"/>
  <c r="L27" i="7"/>
  <c r="K27" i="7"/>
  <c r="J27" i="7"/>
  <c r="N26" i="7"/>
  <c r="M26" i="7"/>
  <c r="L26" i="7"/>
  <c r="K26" i="7"/>
  <c r="J26" i="7"/>
  <c r="N18" i="7"/>
  <c r="M18" i="7"/>
  <c r="L18" i="7"/>
  <c r="K18" i="7"/>
  <c r="J18" i="7"/>
  <c r="N17" i="7"/>
  <c r="M17" i="7"/>
  <c r="L17" i="7"/>
  <c r="K17" i="7"/>
  <c r="J17" i="7"/>
  <c r="N16" i="7"/>
  <c r="M16" i="7"/>
  <c r="L16" i="7"/>
  <c r="K16" i="7"/>
  <c r="J16" i="7"/>
  <c r="N15" i="7"/>
  <c r="M15" i="7"/>
  <c r="L15" i="7"/>
  <c r="K15" i="7"/>
  <c r="J15" i="7"/>
  <c r="N14" i="7"/>
  <c r="M14" i="7"/>
  <c r="L14" i="7"/>
  <c r="K14" i="7"/>
  <c r="J14" i="7"/>
  <c r="N13" i="7"/>
  <c r="M13" i="7"/>
  <c r="L13" i="7"/>
  <c r="K13" i="7"/>
  <c r="J13" i="7"/>
  <c r="N12" i="7"/>
  <c r="M12" i="7"/>
  <c r="L12" i="7"/>
  <c r="K12" i="7"/>
  <c r="J12" i="7"/>
  <c r="N11" i="7"/>
  <c r="M11" i="7"/>
  <c r="L11" i="7"/>
  <c r="K11" i="7"/>
  <c r="J11" i="7"/>
  <c r="N10" i="7"/>
  <c r="M10" i="7"/>
  <c r="L10" i="7"/>
  <c r="K10" i="7"/>
  <c r="J10" i="7"/>
  <c r="N9" i="7"/>
  <c r="M9" i="7"/>
  <c r="L9" i="7"/>
  <c r="K9" i="7"/>
  <c r="J9" i="7"/>
  <c r="N8" i="7"/>
  <c r="M8" i="7"/>
  <c r="L8" i="7"/>
  <c r="K8" i="7"/>
  <c r="J8" i="7"/>
  <c r="N7" i="7"/>
  <c r="M7" i="7"/>
  <c r="L7" i="7"/>
  <c r="K7" i="7"/>
  <c r="J7" i="7"/>
  <c r="N6" i="7"/>
  <c r="M6" i="7"/>
  <c r="L6" i="7"/>
  <c r="K6" i="7"/>
  <c r="J6" i="7"/>
  <c r="N5" i="7"/>
  <c r="M5" i="7"/>
  <c r="L5" i="7"/>
  <c r="K5" i="7"/>
  <c r="J5" i="7"/>
  <c r="N4" i="7"/>
  <c r="M4" i="7"/>
  <c r="L4" i="7"/>
  <c r="K4" i="7"/>
  <c r="J4" i="7"/>
  <c r="N3" i="7"/>
  <c r="M3" i="7"/>
  <c r="L3" i="7"/>
  <c r="K3" i="7"/>
  <c r="J3" i="7"/>
  <c r="C43" i="2"/>
  <c r="I20" i="1"/>
  <c r="I21" i="1"/>
  <c r="I22" i="1"/>
  <c r="I52" i="1" s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G52" i="1"/>
  <c r="G53" i="1"/>
  <c r="G54" i="1" s="1"/>
  <c r="I53" i="1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Z36" i="4"/>
  <c r="AU36" i="4"/>
  <c r="AP36" i="4"/>
  <c r="AK36" i="4"/>
  <c r="V36" i="4"/>
  <c r="Q36" i="4"/>
  <c r="L36" i="4"/>
  <c r="G36" i="4"/>
  <c r="B36" i="4"/>
  <c r="AZ35" i="4"/>
  <c r="AU35" i="4"/>
  <c r="AP35" i="4"/>
  <c r="AK35" i="4"/>
  <c r="V35" i="4"/>
  <c r="Q35" i="4"/>
  <c r="L35" i="4"/>
  <c r="G35" i="4"/>
  <c r="B35" i="4"/>
  <c r="BD33" i="4"/>
  <c r="BA33" i="4"/>
  <c r="BC33" i="4" s="1"/>
  <c r="AY33" i="4"/>
  <c r="AV33" i="4"/>
  <c r="AX33" i="4" s="1"/>
  <c r="AT33" i="4"/>
  <c r="AQ33" i="4"/>
  <c r="AS33" i="4" s="1"/>
  <c r="AO33" i="4"/>
  <c r="AL33" i="4"/>
  <c r="AN33" i="4" s="1"/>
  <c r="AF33" i="4"/>
  <c r="AG33" i="4" s="1"/>
  <c r="AB33" i="4"/>
  <c r="AA33" i="4"/>
  <c r="Y33" i="4"/>
  <c r="X33" i="4"/>
  <c r="W33" i="4"/>
  <c r="Z33" i="4" s="1"/>
  <c r="T33" i="4"/>
  <c r="S33" i="4"/>
  <c r="R33" i="4"/>
  <c r="U33" i="4" s="1"/>
  <c r="O33" i="4"/>
  <c r="N33" i="4"/>
  <c r="M33" i="4"/>
  <c r="P33" i="4" s="1"/>
  <c r="J33" i="4"/>
  <c r="I33" i="4"/>
  <c r="H33" i="4"/>
  <c r="K33" i="4" s="1"/>
  <c r="E33" i="4"/>
  <c r="D33" i="4"/>
  <c r="C33" i="4"/>
  <c r="F33" i="4" s="1"/>
  <c r="BC32" i="4"/>
  <c r="BB32" i="4"/>
  <c r="BA32" i="4"/>
  <c r="BD32" i="4" s="1"/>
  <c r="AX32" i="4"/>
  <c r="AW32" i="4"/>
  <c r="AV32" i="4"/>
  <c r="AY32" i="4" s="1"/>
  <c r="AS32" i="4"/>
  <c r="AR32" i="4"/>
  <c r="AQ32" i="4"/>
  <c r="AT32" i="4" s="1"/>
  <c r="AN32" i="4"/>
  <c r="AM32" i="4"/>
  <c r="AL32" i="4"/>
  <c r="AO32" i="4" s="1"/>
  <c r="AI32" i="4"/>
  <c r="AH32" i="4"/>
  <c r="AG32" i="4"/>
  <c r="AJ32" i="4" s="1"/>
  <c r="AF32" i="4"/>
  <c r="AE32" i="4"/>
  <c r="AD32" i="4"/>
  <c r="AC32" i="4"/>
  <c r="AB32" i="4"/>
  <c r="Z32" i="4"/>
  <c r="Y32" i="4"/>
  <c r="X32" i="4"/>
  <c r="W32" i="4"/>
  <c r="U32" i="4"/>
  <c r="T32" i="4"/>
  <c r="S32" i="4"/>
  <c r="R32" i="4"/>
  <c r="P32" i="4"/>
  <c r="O32" i="4"/>
  <c r="N32" i="4"/>
  <c r="M32" i="4"/>
  <c r="K32" i="4"/>
  <c r="J32" i="4"/>
  <c r="I32" i="4"/>
  <c r="H32" i="4"/>
  <c r="F32" i="4"/>
  <c r="E32" i="4"/>
  <c r="D32" i="4"/>
  <c r="C32" i="4"/>
  <c r="BD31" i="4"/>
  <c r="BC31" i="4"/>
  <c r="BB31" i="4"/>
  <c r="BA31" i="4"/>
  <c r="AY31" i="4"/>
  <c r="AX31" i="4"/>
  <c r="AW31" i="4"/>
  <c r="AV31" i="4"/>
  <c r="AT31" i="4"/>
  <c r="AS31" i="4"/>
  <c r="AR31" i="4"/>
  <c r="AQ31" i="4"/>
  <c r="AO31" i="4"/>
  <c r="AN31" i="4"/>
  <c r="AM31" i="4"/>
  <c r="AL31" i="4"/>
  <c r="AJ31" i="4"/>
  <c r="AI31" i="4"/>
  <c r="AH31" i="4"/>
  <c r="AG31" i="4"/>
  <c r="AE31" i="4"/>
  <c r="AD31" i="4"/>
  <c r="AC31" i="4"/>
  <c r="AB31" i="4"/>
  <c r="Z31" i="4"/>
  <c r="Y31" i="4"/>
  <c r="X31" i="4"/>
  <c r="W31" i="4"/>
  <c r="U31" i="4"/>
  <c r="T31" i="4"/>
  <c r="S31" i="4"/>
  <c r="R31" i="4"/>
  <c r="P31" i="4"/>
  <c r="O31" i="4"/>
  <c r="N31" i="4"/>
  <c r="M31" i="4"/>
  <c r="K31" i="4"/>
  <c r="J31" i="4"/>
  <c r="I31" i="4"/>
  <c r="H31" i="4"/>
  <c r="F31" i="4"/>
  <c r="E31" i="4"/>
  <c r="D31" i="4"/>
  <c r="C31" i="4"/>
  <c r="BD30" i="4"/>
  <c r="BC30" i="4"/>
  <c r="BB30" i="4"/>
  <c r="BA30" i="4"/>
  <c r="AY30" i="4"/>
  <c r="AX30" i="4"/>
  <c r="AW30" i="4"/>
  <c r="AV30" i="4"/>
  <c r="AT30" i="4"/>
  <c r="AS30" i="4"/>
  <c r="AR30" i="4"/>
  <c r="AQ30" i="4"/>
  <c r="AO30" i="4"/>
  <c r="AN30" i="4"/>
  <c r="AM30" i="4"/>
  <c r="AL30" i="4"/>
  <c r="AJ30" i="4"/>
  <c r="AI30" i="4"/>
  <c r="AH30" i="4"/>
  <c r="AG30" i="4"/>
  <c r="AE30" i="4"/>
  <c r="AD30" i="4"/>
  <c r="AC30" i="4"/>
  <c r="AB30" i="4"/>
  <c r="Z30" i="4"/>
  <c r="Y30" i="4"/>
  <c r="X30" i="4"/>
  <c r="W30" i="4"/>
  <c r="U30" i="4"/>
  <c r="T30" i="4"/>
  <c r="S30" i="4"/>
  <c r="R30" i="4"/>
  <c r="P30" i="4"/>
  <c r="O30" i="4"/>
  <c r="N30" i="4"/>
  <c r="M30" i="4"/>
  <c r="K30" i="4"/>
  <c r="J30" i="4"/>
  <c r="I30" i="4"/>
  <c r="H30" i="4"/>
  <c r="F30" i="4"/>
  <c r="E30" i="4"/>
  <c r="D30" i="4"/>
  <c r="C30" i="4"/>
  <c r="BD29" i="4"/>
  <c r="BC29" i="4"/>
  <c r="BB29" i="4"/>
  <c r="BA29" i="4"/>
  <c r="AY29" i="4"/>
  <c r="AX29" i="4"/>
  <c r="AW29" i="4"/>
  <c r="AV29" i="4"/>
  <c r="AT29" i="4"/>
  <c r="AS29" i="4"/>
  <c r="AR29" i="4"/>
  <c r="AQ29" i="4"/>
  <c r="AO29" i="4"/>
  <c r="AN29" i="4"/>
  <c r="AM29" i="4"/>
  <c r="AL29" i="4"/>
  <c r="AJ29" i="4"/>
  <c r="AI29" i="4"/>
  <c r="AH29" i="4"/>
  <c r="AG29" i="4"/>
  <c r="AE29" i="4"/>
  <c r="AD29" i="4"/>
  <c r="AC29" i="4"/>
  <c r="AB29" i="4"/>
  <c r="Z29" i="4"/>
  <c r="Y29" i="4"/>
  <c r="X29" i="4"/>
  <c r="W29" i="4"/>
  <c r="U29" i="4"/>
  <c r="T29" i="4"/>
  <c r="S29" i="4"/>
  <c r="R29" i="4"/>
  <c r="P29" i="4"/>
  <c r="O29" i="4"/>
  <c r="N29" i="4"/>
  <c r="M29" i="4"/>
  <c r="K29" i="4"/>
  <c r="J29" i="4"/>
  <c r="I29" i="4"/>
  <c r="H29" i="4"/>
  <c r="F29" i="4"/>
  <c r="E29" i="4"/>
  <c r="C29" i="4"/>
  <c r="D29" i="4" s="1"/>
  <c r="BD28" i="4"/>
  <c r="BC28" i="4"/>
  <c r="BA28" i="4"/>
  <c r="BB28" i="4" s="1"/>
  <c r="AY28" i="4"/>
  <c r="AX28" i="4"/>
  <c r="AV28" i="4"/>
  <c r="AW28" i="4" s="1"/>
  <c r="AT28" i="4"/>
  <c r="AS28" i="4"/>
  <c r="AQ28" i="4"/>
  <c r="AR28" i="4" s="1"/>
  <c r="AO28" i="4"/>
  <c r="AN28" i="4"/>
  <c r="AL28" i="4"/>
  <c r="AM28" i="4" s="1"/>
  <c r="AJ28" i="4"/>
  <c r="AI28" i="4"/>
  <c r="AG28" i="4"/>
  <c r="AH28" i="4" s="1"/>
  <c r="AE28" i="4"/>
  <c r="AD28" i="4"/>
  <c r="AB28" i="4"/>
  <c r="AC28" i="4" s="1"/>
  <c r="Z28" i="4"/>
  <c r="Y28" i="4"/>
  <c r="W28" i="4"/>
  <c r="X28" i="4" s="1"/>
  <c r="U28" i="4"/>
  <c r="T28" i="4"/>
  <c r="R28" i="4"/>
  <c r="S28" i="4" s="1"/>
  <c r="P28" i="4"/>
  <c r="O28" i="4"/>
  <c r="M28" i="4"/>
  <c r="N28" i="4" s="1"/>
  <c r="K28" i="4"/>
  <c r="J28" i="4"/>
  <c r="H28" i="4"/>
  <c r="I28" i="4" s="1"/>
  <c r="F28" i="4"/>
  <c r="E28" i="4"/>
  <c r="C28" i="4"/>
  <c r="D28" i="4" s="1"/>
  <c r="BD27" i="4"/>
  <c r="BC27" i="4"/>
  <c r="BA27" i="4"/>
  <c r="BB27" i="4" s="1"/>
  <c r="AY27" i="4"/>
  <c r="AX27" i="4"/>
  <c r="AV27" i="4"/>
  <c r="AW27" i="4" s="1"/>
  <c r="AT27" i="4"/>
  <c r="AS27" i="4"/>
  <c r="AQ27" i="4"/>
  <c r="AR27" i="4" s="1"/>
  <c r="AO27" i="4"/>
  <c r="AN27" i="4"/>
  <c r="AL27" i="4"/>
  <c r="AM27" i="4" s="1"/>
  <c r="AJ27" i="4"/>
  <c r="AI27" i="4"/>
  <c r="AG27" i="4"/>
  <c r="AH27" i="4" s="1"/>
  <c r="AE27" i="4"/>
  <c r="AD27" i="4"/>
  <c r="AB27" i="4"/>
  <c r="AC27" i="4" s="1"/>
  <c r="Z27" i="4"/>
  <c r="Y27" i="4"/>
  <c r="W27" i="4"/>
  <c r="X27" i="4" s="1"/>
  <c r="R27" i="4"/>
  <c r="M27" i="4"/>
  <c r="K27" i="4"/>
  <c r="H27" i="4"/>
  <c r="I27" i="4" s="1"/>
  <c r="F27" i="4"/>
  <c r="E27" i="4"/>
  <c r="C27" i="4"/>
  <c r="D27" i="4" s="1"/>
  <c r="BA26" i="4"/>
  <c r="AV26" i="4"/>
  <c r="AT26" i="4"/>
  <c r="AQ26" i="4"/>
  <c r="AR26" i="4" s="1"/>
  <c r="AO26" i="4"/>
  <c r="AN26" i="4"/>
  <c r="AL26" i="4"/>
  <c r="AM26" i="4" s="1"/>
  <c r="AG26" i="4"/>
  <c r="AB26" i="4"/>
  <c r="Z26" i="4"/>
  <c r="W26" i="4"/>
  <c r="X26" i="4" s="1"/>
  <c r="U26" i="4"/>
  <c r="T26" i="4"/>
  <c r="R26" i="4"/>
  <c r="S26" i="4" s="1"/>
  <c r="M26" i="4"/>
  <c r="H26" i="4"/>
  <c r="F26" i="4"/>
  <c r="C26" i="4"/>
  <c r="D26" i="4" s="1"/>
  <c r="BD25" i="4"/>
  <c r="BC25" i="4"/>
  <c r="BA25" i="4"/>
  <c r="BB25" i="4" s="1"/>
  <c r="AV25" i="4"/>
  <c r="AQ25" i="4"/>
  <c r="AO25" i="4"/>
  <c r="AL25" i="4"/>
  <c r="AM25" i="4" s="1"/>
  <c r="AF25" i="4"/>
  <c r="AG25" i="4" s="1"/>
  <c r="AH25" i="4" s="1"/>
  <c r="AE25" i="4"/>
  <c r="AC25" i="4"/>
  <c r="AB25" i="4"/>
  <c r="AD25" i="4" s="1"/>
  <c r="X25" i="4"/>
  <c r="W25" i="4"/>
  <c r="R25" i="4"/>
  <c r="P25" i="4"/>
  <c r="M25" i="4"/>
  <c r="O25" i="4" s="1"/>
  <c r="K25" i="4"/>
  <c r="I25" i="4"/>
  <c r="H25" i="4"/>
  <c r="J25" i="4" s="1"/>
  <c r="D25" i="4"/>
  <c r="C25" i="4"/>
  <c r="BA24" i="4"/>
  <c r="AY24" i="4"/>
  <c r="AV24" i="4"/>
  <c r="AX24" i="4" s="1"/>
  <c r="AT24" i="4"/>
  <c r="AR24" i="4"/>
  <c r="AQ24" i="4"/>
  <c r="AS24" i="4" s="1"/>
  <c r="AM24" i="4"/>
  <c r="AL24" i="4"/>
  <c r="AG24" i="4"/>
  <c r="AE24" i="4"/>
  <c r="AB24" i="4"/>
  <c r="AD24" i="4" s="1"/>
  <c r="Z24" i="4"/>
  <c r="X24" i="4"/>
  <c r="W24" i="4"/>
  <c r="Y24" i="4" s="1"/>
  <c r="S24" i="4"/>
  <c r="R24" i="4"/>
  <c r="M24" i="4"/>
  <c r="K24" i="4"/>
  <c r="H24" i="4"/>
  <c r="J24" i="4" s="1"/>
  <c r="F24" i="4"/>
  <c r="D24" i="4"/>
  <c r="C24" i="4"/>
  <c r="E24" i="4" s="1"/>
  <c r="BB23" i="4"/>
  <c r="BA23" i="4"/>
  <c r="AV23" i="4"/>
  <c r="AT23" i="4"/>
  <c r="AQ23" i="4"/>
  <c r="AS23" i="4" s="1"/>
  <c r="AO23" i="4"/>
  <c r="AM23" i="4"/>
  <c r="AL23" i="4"/>
  <c r="AN23" i="4" s="1"/>
  <c r="AH23" i="4"/>
  <c r="AG23" i="4"/>
  <c r="AB23" i="4"/>
  <c r="Z23" i="4"/>
  <c r="W23" i="4"/>
  <c r="Y23" i="4" s="1"/>
  <c r="U23" i="4"/>
  <c r="S23" i="4"/>
  <c r="R23" i="4"/>
  <c r="T23" i="4" s="1"/>
  <c r="N23" i="4"/>
  <c r="M23" i="4"/>
  <c r="H23" i="4"/>
  <c r="F23" i="4"/>
  <c r="C23" i="4"/>
  <c r="E23" i="4" s="1"/>
  <c r="BD22" i="4"/>
  <c r="BB22" i="4"/>
  <c r="BA22" i="4"/>
  <c r="BC22" i="4" s="1"/>
  <c r="AW22" i="4"/>
  <c r="AV22" i="4"/>
  <c r="AQ22" i="4"/>
  <c r="AO22" i="4"/>
  <c r="AL22" i="4"/>
  <c r="AN22" i="4" s="1"/>
  <c r="AF22" i="4"/>
  <c r="AG22" i="4" s="1"/>
  <c r="AI22" i="4" s="1"/>
  <c r="AD22" i="4"/>
  <c r="AC22" i="4"/>
  <c r="AB22" i="4"/>
  <c r="AE22" i="4" s="1"/>
  <c r="AA22" i="4"/>
  <c r="Z22" i="4"/>
  <c r="Y22" i="4"/>
  <c r="X22" i="4"/>
  <c r="W22" i="4"/>
  <c r="U22" i="4"/>
  <c r="T22" i="4"/>
  <c r="S22" i="4"/>
  <c r="R22" i="4"/>
  <c r="P22" i="4"/>
  <c r="O22" i="4"/>
  <c r="N22" i="4"/>
  <c r="M22" i="4"/>
  <c r="K22" i="4"/>
  <c r="J22" i="4"/>
  <c r="I22" i="4"/>
  <c r="H22" i="4"/>
  <c r="F22" i="4"/>
  <c r="E22" i="4"/>
  <c r="D22" i="4"/>
  <c r="C22" i="4"/>
  <c r="BD21" i="4"/>
  <c r="BC21" i="4"/>
  <c r="BB21" i="4"/>
  <c r="BA21" i="4"/>
  <c r="AY21" i="4"/>
  <c r="AX21" i="4"/>
  <c r="AW21" i="4"/>
  <c r="AV21" i="4"/>
  <c r="AT21" i="4"/>
  <c r="AS21" i="4"/>
  <c r="AR21" i="4"/>
  <c r="AQ21" i="4"/>
  <c r="AO21" i="4"/>
  <c r="AN21" i="4"/>
  <c r="AM21" i="4"/>
  <c r="AL21" i="4"/>
  <c r="AJ21" i="4"/>
  <c r="AI21" i="4"/>
  <c r="AH21" i="4"/>
  <c r="AG21" i="4"/>
  <c r="AE21" i="4"/>
  <c r="AD21" i="4"/>
  <c r="AC21" i="4"/>
  <c r="AB21" i="4"/>
  <c r="Z21" i="4"/>
  <c r="Y21" i="4"/>
  <c r="X21" i="4"/>
  <c r="W21" i="4"/>
  <c r="U21" i="4"/>
  <c r="T21" i="4"/>
  <c r="S21" i="4"/>
  <c r="R21" i="4"/>
  <c r="P21" i="4"/>
  <c r="O21" i="4"/>
  <c r="N21" i="4"/>
  <c r="M21" i="4"/>
  <c r="K21" i="4"/>
  <c r="J21" i="4"/>
  <c r="I21" i="4"/>
  <c r="H21" i="4"/>
  <c r="F21" i="4"/>
  <c r="E21" i="4"/>
  <c r="D21" i="4"/>
  <c r="C21" i="4"/>
  <c r="BD20" i="4"/>
  <c r="BC20" i="4"/>
  <c r="BB20" i="4"/>
  <c r="BA20" i="4"/>
  <c r="AY20" i="4"/>
  <c r="AX20" i="4"/>
  <c r="AW20" i="4"/>
  <c r="AV20" i="4"/>
  <c r="AT20" i="4"/>
  <c r="AS20" i="4"/>
  <c r="AR20" i="4"/>
  <c r="AQ20" i="4"/>
  <c r="AO20" i="4"/>
  <c r="AN20" i="4"/>
  <c r="AM20" i="4"/>
  <c r="AL20" i="4"/>
  <c r="AJ20" i="4"/>
  <c r="AI20" i="4"/>
  <c r="AF20" i="4"/>
  <c r="AG20" i="4" s="1"/>
  <c r="AH20" i="4" s="1"/>
  <c r="AE20" i="4"/>
  <c r="AD20" i="4"/>
  <c r="AA20" i="4"/>
  <c r="AB20" i="4" s="1"/>
  <c r="AC20" i="4" s="1"/>
  <c r="Z20" i="4"/>
  <c r="X20" i="4"/>
  <c r="W20" i="4"/>
  <c r="Y20" i="4" s="1"/>
  <c r="S20" i="4"/>
  <c r="R20" i="4"/>
  <c r="M20" i="4"/>
  <c r="K20" i="4"/>
  <c r="H20" i="4"/>
  <c r="J20" i="4" s="1"/>
  <c r="F20" i="4"/>
  <c r="D20" i="4"/>
  <c r="C20" i="4"/>
  <c r="E20" i="4" s="1"/>
  <c r="BB19" i="4"/>
  <c r="BA19" i="4"/>
  <c r="AV19" i="4"/>
  <c r="AT19" i="4"/>
  <c r="AQ19" i="4"/>
  <c r="AS19" i="4" s="1"/>
  <c r="AO19" i="4"/>
  <c r="AM19" i="4"/>
  <c r="AL19" i="4"/>
  <c r="AN19" i="4" s="1"/>
  <c r="AH19" i="4"/>
  <c r="AG19" i="4"/>
  <c r="AB19" i="4"/>
  <c r="Z19" i="4"/>
  <c r="W19" i="4"/>
  <c r="Y19" i="4" s="1"/>
  <c r="U19" i="4"/>
  <c r="S19" i="4"/>
  <c r="R19" i="4"/>
  <c r="T19" i="4" s="1"/>
  <c r="N19" i="4"/>
  <c r="M19" i="4"/>
  <c r="H19" i="4"/>
  <c r="F19" i="4"/>
  <c r="C19" i="4"/>
  <c r="E19" i="4" s="1"/>
  <c r="BD18" i="4"/>
  <c r="BB18" i="4"/>
  <c r="BA18" i="4"/>
  <c r="BC18" i="4" s="1"/>
  <c r="AW18" i="4"/>
  <c r="AV18" i="4"/>
  <c r="AQ18" i="4"/>
  <c r="AO18" i="4"/>
  <c r="AL18" i="4"/>
  <c r="AN18" i="4" s="1"/>
  <c r="AF18" i="4"/>
  <c r="AG18" i="4" s="1"/>
  <c r="AI18" i="4" s="1"/>
  <c r="AD18" i="4"/>
  <c r="AC18" i="4"/>
  <c r="AB18" i="4"/>
  <c r="AE18" i="4" s="1"/>
  <c r="AA18" i="4"/>
  <c r="Z18" i="4"/>
  <c r="Y18" i="4"/>
  <c r="X18" i="4"/>
  <c r="W18" i="4"/>
  <c r="U18" i="4"/>
  <c r="T18" i="4"/>
  <c r="S18" i="4"/>
  <c r="R18" i="4"/>
  <c r="P18" i="4"/>
  <c r="O18" i="4"/>
  <c r="N18" i="4"/>
  <c r="M18" i="4"/>
  <c r="K18" i="4"/>
  <c r="J18" i="4"/>
  <c r="I18" i="4"/>
  <c r="H18" i="4"/>
  <c r="F18" i="4"/>
  <c r="E18" i="4"/>
  <c r="D18" i="4"/>
  <c r="C18" i="4"/>
  <c r="BD17" i="4"/>
  <c r="BC17" i="4"/>
  <c r="BB17" i="4"/>
  <c r="BA17" i="4"/>
  <c r="AY17" i="4"/>
  <c r="AX17" i="4"/>
  <c r="AW17" i="4"/>
  <c r="AV17" i="4"/>
  <c r="AT17" i="4"/>
  <c r="AS17" i="4"/>
  <c r="AR17" i="4"/>
  <c r="AQ17" i="4"/>
  <c r="AO17" i="4"/>
  <c r="AN17" i="4"/>
  <c r="AM17" i="4"/>
  <c r="AL17" i="4"/>
  <c r="AJ17" i="4"/>
  <c r="AI17" i="4"/>
  <c r="AH17" i="4"/>
  <c r="AG17" i="4"/>
  <c r="AE17" i="4"/>
  <c r="AD17" i="4"/>
  <c r="AC17" i="4"/>
  <c r="AB17" i="4"/>
  <c r="Z17" i="4"/>
  <c r="Y17" i="4"/>
  <c r="X17" i="4"/>
  <c r="W17" i="4"/>
  <c r="U17" i="4"/>
  <c r="T17" i="4"/>
  <c r="S17" i="4"/>
  <c r="R17" i="4"/>
  <c r="P17" i="4"/>
  <c r="O17" i="4"/>
  <c r="N17" i="4"/>
  <c r="M17" i="4"/>
  <c r="K17" i="4"/>
  <c r="J17" i="4"/>
  <c r="I17" i="4"/>
  <c r="H17" i="4"/>
  <c r="F17" i="4"/>
  <c r="E17" i="4"/>
  <c r="D17" i="4"/>
  <c r="C17" i="4"/>
  <c r="BD16" i="4"/>
  <c r="BC16" i="4"/>
  <c r="BB16" i="4"/>
  <c r="BA16" i="4"/>
  <c r="AY16" i="4"/>
  <c r="AX16" i="4"/>
  <c r="AW16" i="4"/>
  <c r="AV16" i="4"/>
  <c r="AT16" i="4"/>
  <c r="AS16" i="4"/>
  <c r="AR16" i="4"/>
  <c r="AQ16" i="4"/>
  <c r="AO16" i="4"/>
  <c r="AN16" i="4"/>
  <c r="AM16" i="4"/>
  <c r="AL16" i="4"/>
  <c r="AJ16" i="4"/>
  <c r="AI16" i="4"/>
  <c r="AH16" i="4"/>
  <c r="AG16" i="4"/>
  <c r="AE16" i="4"/>
  <c r="AD16" i="4"/>
  <c r="AC16" i="4"/>
  <c r="AB16" i="4"/>
  <c r="Z16" i="4"/>
  <c r="Y16" i="4"/>
  <c r="X16" i="4"/>
  <c r="W16" i="4"/>
  <c r="U16" i="4"/>
  <c r="T16" i="4"/>
  <c r="S16" i="4"/>
  <c r="R16" i="4"/>
  <c r="P16" i="4"/>
  <c r="O16" i="4"/>
  <c r="N16" i="4"/>
  <c r="M16" i="4"/>
  <c r="K16" i="4"/>
  <c r="J16" i="4"/>
  <c r="I16" i="4"/>
  <c r="H16" i="4"/>
  <c r="F16" i="4"/>
  <c r="E16" i="4"/>
  <c r="D16" i="4"/>
  <c r="C16" i="4"/>
  <c r="BD15" i="4"/>
  <c r="BC15" i="4"/>
  <c r="BB15" i="4"/>
  <c r="BA15" i="4"/>
  <c r="AY15" i="4"/>
  <c r="AX15" i="4"/>
  <c r="AW15" i="4"/>
  <c r="AV15" i="4"/>
  <c r="AT15" i="4"/>
  <c r="AS15" i="4"/>
  <c r="AR15" i="4"/>
  <c r="AQ15" i="4"/>
  <c r="AO15" i="4"/>
  <c r="AN15" i="4"/>
  <c r="AM15" i="4"/>
  <c r="AL15" i="4"/>
  <c r="AJ15" i="4"/>
  <c r="AI15" i="4"/>
  <c r="AH15" i="4"/>
  <c r="AG15" i="4"/>
  <c r="AE15" i="4"/>
  <c r="AD15" i="4"/>
  <c r="AC15" i="4"/>
  <c r="AB15" i="4"/>
  <c r="Z15" i="4"/>
  <c r="Y15" i="4"/>
  <c r="X15" i="4"/>
  <c r="W15" i="4"/>
  <c r="U15" i="4"/>
  <c r="T15" i="4"/>
  <c r="S15" i="4"/>
  <c r="R15" i="4"/>
  <c r="P15" i="4"/>
  <c r="O15" i="4"/>
  <c r="N15" i="4"/>
  <c r="M15" i="4"/>
  <c r="K15" i="4"/>
  <c r="J15" i="4"/>
  <c r="I15" i="4"/>
  <c r="H15" i="4"/>
  <c r="F15" i="4"/>
  <c r="E15" i="4"/>
  <c r="D15" i="4"/>
  <c r="C15" i="4"/>
  <c r="BD14" i="4"/>
  <c r="BC14" i="4"/>
  <c r="BB14" i="4"/>
  <c r="BA14" i="4"/>
  <c r="AY14" i="4"/>
  <c r="AX14" i="4"/>
  <c r="AW14" i="4"/>
  <c r="AV14" i="4"/>
  <c r="AT14" i="4"/>
  <c r="AS14" i="4"/>
  <c r="AR14" i="4"/>
  <c r="AQ14" i="4"/>
  <c r="AO14" i="4"/>
  <c r="AN14" i="4"/>
  <c r="AM14" i="4"/>
  <c r="AL14" i="4"/>
  <c r="AJ14" i="4"/>
  <c r="AI14" i="4"/>
  <c r="AF14" i="4"/>
  <c r="AG14" i="4" s="1"/>
  <c r="AH14" i="4" s="1"/>
  <c r="AE14" i="4"/>
  <c r="AA14" i="4"/>
  <c r="AB14" i="4" s="1"/>
  <c r="AC14" i="4" s="1"/>
  <c r="Z14" i="4"/>
  <c r="X14" i="4"/>
  <c r="W14" i="4"/>
  <c r="Y14" i="4" s="1"/>
  <c r="R14" i="4"/>
  <c r="M14" i="4"/>
  <c r="K14" i="4"/>
  <c r="H14" i="4"/>
  <c r="J14" i="4" s="1"/>
  <c r="F14" i="4"/>
  <c r="D14" i="4"/>
  <c r="C14" i="4"/>
  <c r="E14" i="4" s="1"/>
  <c r="BA13" i="4"/>
  <c r="AV13" i="4"/>
  <c r="AT13" i="4"/>
  <c r="AQ13" i="4"/>
  <c r="AS13" i="4" s="1"/>
  <c r="AO13" i="4"/>
  <c r="AM13" i="4"/>
  <c r="AL13" i="4"/>
  <c r="AN13" i="4" s="1"/>
  <c r="AG13" i="4"/>
  <c r="AF13" i="4"/>
  <c r="AB13" i="4"/>
  <c r="AA13" i="4"/>
  <c r="Z13" i="4"/>
  <c r="Y13" i="4"/>
  <c r="X13" i="4"/>
  <c r="W13" i="4"/>
  <c r="U13" i="4"/>
  <c r="T13" i="4"/>
  <c r="S13" i="4"/>
  <c r="R13" i="4"/>
  <c r="P13" i="4"/>
  <c r="O13" i="4"/>
  <c r="N13" i="4"/>
  <c r="M13" i="4"/>
  <c r="K13" i="4"/>
  <c r="J13" i="4"/>
  <c r="I13" i="4"/>
  <c r="H13" i="4"/>
  <c r="F13" i="4"/>
  <c r="E13" i="4"/>
  <c r="D13" i="4"/>
  <c r="C13" i="4"/>
  <c r="BD12" i="4"/>
  <c r="BC12" i="4"/>
  <c r="BB12" i="4"/>
  <c r="BA12" i="4"/>
  <c r="AY12" i="4"/>
  <c r="AX12" i="4"/>
  <c r="AW12" i="4"/>
  <c r="AV12" i="4"/>
  <c r="AT12" i="4"/>
  <c r="AS12" i="4"/>
  <c r="AR12" i="4"/>
  <c r="AQ12" i="4"/>
  <c r="AO12" i="4"/>
  <c r="AN12" i="4"/>
  <c r="AM12" i="4"/>
  <c r="AL12" i="4"/>
  <c r="AJ12" i="4"/>
  <c r="AI12" i="4"/>
  <c r="AH12" i="4"/>
  <c r="AF12" i="4"/>
  <c r="AG12" i="4" s="1"/>
  <c r="AD12" i="4"/>
  <c r="AB12" i="4"/>
  <c r="AA12" i="4"/>
  <c r="W12" i="4"/>
  <c r="R12" i="4"/>
  <c r="P12" i="4"/>
  <c r="M12" i="4"/>
  <c r="O12" i="4" s="1"/>
  <c r="K12" i="4"/>
  <c r="I12" i="4"/>
  <c r="H12" i="4"/>
  <c r="J12" i="4" s="1"/>
  <c r="C12" i="4"/>
  <c r="BA11" i="4"/>
  <c r="AY11" i="4"/>
  <c r="AV11" i="4"/>
  <c r="AX11" i="4" s="1"/>
  <c r="AT11" i="4"/>
  <c r="AR11" i="4"/>
  <c r="AQ11" i="4"/>
  <c r="AS11" i="4" s="1"/>
  <c r="AL11" i="4"/>
  <c r="AF11" i="4"/>
  <c r="AG11" i="4" s="1"/>
  <c r="AB11" i="4"/>
  <c r="AA11" i="4"/>
  <c r="Z11" i="4"/>
  <c r="Y11" i="4"/>
  <c r="X11" i="4"/>
  <c r="W11" i="4"/>
  <c r="U11" i="4"/>
  <c r="T11" i="4"/>
  <c r="S11" i="4"/>
  <c r="R11" i="4"/>
  <c r="P11" i="4"/>
  <c r="O11" i="4"/>
  <c r="N11" i="4"/>
  <c r="M11" i="4"/>
  <c r="K11" i="4"/>
  <c r="J11" i="4"/>
  <c r="I11" i="4"/>
  <c r="H11" i="4"/>
  <c r="F11" i="4"/>
  <c r="E11" i="4"/>
  <c r="D11" i="4"/>
  <c r="C11" i="4"/>
  <c r="BD10" i="4"/>
  <c r="BC10" i="4"/>
  <c r="BB10" i="4"/>
  <c r="BA10" i="4"/>
  <c r="AY10" i="4"/>
  <c r="AX10" i="4"/>
  <c r="AW10" i="4"/>
  <c r="AV10" i="4"/>
  <c r="AT10" i="4"/>
  <c r="AS10" i="4"/>
  <c r="AR10" i="4"/>
  <c r="AQ10" i="4"/>
  <c r="AO10" i="4"/>
  <c r="AN10" i="4"/>
  <c r="AM10" i="4"/>
  <c r="AL10" i="4"/>
  <c r="AF10" i="4"/>
  <c r="AG10" i="4" s="1"/>
  <c r="AA10" i="4"/>
  <c r="AB10" i="4" s="1"/>
  <c r="W10" i="4"/>
  <c r="U10" i="4"/>
  <c r="R10" i="4"/>
  <c r="T10" i="4" s="1"/>
  <c r="P10" i="4"/>
  <c r="N10" i="4"/>
  <c r="M10" i="4"/>
  <c r="O10" i="4" s="1"/>
  <c r="H10" i="4"/>
  <c r="C10" i="4"/>
  <c r="BD9" i="4"/>
  <c r="BA9" i="4"/>
  <c r="BC9" i="4" s="1"/>
  <c r="AY9" i="4"/>
  <c r="AW9" i="4"/>
  <c r="AV9" i="4"/>
  <c r="AX9" i="4" s="1"/>
  <c r="AQ9" i="4"/>
  <c r="AL9" i="4"/>
  <c r="AF9" i="4"/>
  <c r="AG9" i="4" s="1"/>
  <c r="AD9" i="4"/>
  <c r="AB9" i="4"/>
  <c r="AE9" i="4" s="1"/>
  <c r="AA9" i="4"/>
  <c r="Z9" i="4"/>
  <c r="Y9" i="4"/>
  <c r="X9" i="4"/>
  <c r="W9" i="4"/>
  <c r="U9" i="4"/>
  <c r="T9" i="4"/>
  <c r="S9" i="4"/>
  <c r="R9" i="4"/>
  <c r="P9" i="4"/>
  <c r="O9" i="4"/>
  <c r="N9" i="4"/>
  <c r="M9" i="4"/>
  <c r="K9" i="4"/>
  <c r="J9" i="4"/>
  <c r="I9" i="4"/>
  <c r="H9" i="4"/>
  <c r="F9" i="4"/>
  <c r="E9" i="4"/>
  <c r="D9" i="4"/>
  <c r="C9" i="4"/>
  <c r="BD8" i="4"/>
  <c r="BC8" i="4"/>
  <c r="BB8" i="4"/>
  <c r="BA8" i="4"/>
  <c r="AY8" i="4"/>
  <c r="AX8" i="4"/>
  <c r="AW8" i="4"/>
  <c r="AV8" i="4"/>
  <c r="AT8" i="4"/>
  <c r="AS8" i="4"/>
  <c r="AR8" i="4"/>
  <c r="AQ8" i="4"/>
  <c r="AO8" i="4"/>
  <c r="AN8" i="4"/>
  <c r="AM8" i="4"/>
  <c r="AL8" i="4"/>
  <c r="AF8" i="4"/>
  <c r="AG8" i="4" s="1"/>
  <c r="AA8" i="4"/>
  <c r="AB8" i="4" s="1"/>
  <c r="Z8" i="4"/>
  <c r="W8" i="4"/>
  <c r="Y8" i="4" s="1"/>
  <c r="U8" i="4"/>
  <c r="S8" i="4"/>
  <c r="R8" i="4"/>
  <c r="T8" i="4" s="1"/>
  <c r="N8" i="4"/>
  <c r="M8" i="4"/>
  <c r="H8" i="4"/>
  <c r="F8" i="4"/>
  <c r="C8" i="4"/>
  <c r="E8" i="4" s="1"/>
  <c r="BD7" i="4"/>
  <c r="BC7" i="4"/>
  <c r="BA7" i="4"/>
  <c r="BB7" i="4" s="1"/>
  <c r="AY7" i="4"/>
  <c r="AX7" i="4"/>
  <c r="AV7" i="4"/>
  <c r="AW7" i="4" s="1"/>
  <c r="AT7" i="4"/>
  <c r="AS7" i="4"/>
  <c r="AQ7" i="4"/>
  <c r="AR7" i="4" s="1"/>
  <c r="AO7" i="4"/>
  <c r="AN7" i="4"/>
  <c r="AL7" i="4"/>
  <c r="AM7" i="4" s="1"/>
  <c r="AF7" i="4"/>
  <c r="AG7" i="4" s="1"/>
  <c r="AH7" i="4" s="1"/>
  <c r="AA7" i="4"/>
  <c r="AB7" i="4" s="1"/>
  <c r="W7" i="4"/>
  <c r="R7" i="4"/>
  <c r="M7" i="4"/>
  <c r="H7" i="4"/>
  <c r="C7" i="4"/>
  <c r="BA6" i="4"/>
  <c r="AV6" i="4"/>
  <c r="AQ6" i="4"/>
  <c r="AL6" i="4"/>
  <c r="AG6" i="4"/>
  <c r="AF6" i="4"/>
  <c r="AD6" i="4"/>
  <c r="AA6" i="4"/>
  <c r="AB6" i="4" s="1"/>
  <c r="AE6" i="4" s="1"/>
  <c r="Z6" i="4"/>
  <c r="Y6" i="4"/>
  <c r="W6" i="4"/>
  <c r="X6" i="4" s="1"/>
  <c r="U6" i="4"/>
  <c r="T6" i="4"/>
  <c r="R6" i="4"/>
  <c r="S6" i="4" s="1"/>
  <c r="P6" i="4"/>
  <c r="O6" i="4"/>
  <c r="M6" i="4"/>
  <c r="N6" i="4" s="1"/>
  <c r="K6" i="4"/>
  <c r="J6" i="4"/>
  <c r="H6" i="4"/>
  <c r="I6" i="4" s="1"/>
  <c r="F6" i="4"/>
  <c r="E6" i="4"/>
  <c r="C6" i="4"/>
  <c r="D6" i="4" s="1"/>
  <c r="BD5" i="4"/>
  <c r="BC5" i="4"/>
  <c r="BA5" i="4"/>
  <c r="BB5" i="4" s="1"/>
  <c r="AY5" i="4"/>
  <c r="AX5" i="4"/>
  <c r="AV5" i="4"/>
  <c r="AW5" i="4" s="1"/>
  <c r="AT5" i="4"/>
  <c r="AS5" i="4"/>
  <c r="AQ5" i="4"/>
  <c r="AR5" i="4" s="1"/>
  <c r="AO5" i="4"/>
  <c r="AN5" i="4"/>
  <c r="AL5" i="4"/>
  <c r="AM5" i="4" s="1"/>
  <c r="AF5" i="4"/>
  <c r="AG5" i="4" s="1"/>
  <c r="AH5" i="4" s="1"/>
  <c r="AA5" i="4"/>
  <c r="AB5" i="4" s="1"/>
  <c r="X5" i="4"/>
  <c r="W5" i="4"/>
  <c r="R5" i="4"/>
  <c r="O5" i="4"/>
  <c r="M5" i="4"/>
  <c r="P5" i="4" s="1"/>
  <c r="J5" i="4"/>
  <c r="I5" i="4"/>
  <c r="H5" i="4"/>
  <c r="K5" i="4" s="1"/>
  <c r="C5" i="4"/>
  <c r="F5" i="4" s="1"/>
  <c r="BA4" i="4"/>
  <c r="BD4" i="4" s="1"/>
  <c r="AX4" i="4"/>
  <c r="AV4" i="4"/>
  <c r="AY4" i="4" s="1"/>
  <c r="AS4" i="4"/>
  <c r="AR4" i="4"/>
  <c r="AQ4" i="4"/>
  <c r="AT4" i="4" s="1"/>
  <c r="AL4" i="4"/>
  <c r="AO4" i="4" s="1"/>
  <c r="AG4" i="4"/>
  <c r="AJ4" i="4" s="1"/>
  <c r="AF4" i="4"/>
  <c r="AA4" i="4"/>
  <c r="W4" i="4"/>
  <c r="X4" i="4" s="1"/>
  <c r="U4" i="4"/>
  <c r="R4" i="4"/>
  <c r="S4" i="4" s="1"/>
  <c r="P4" i="4"/>
  <c r="O4" i="4"/>
  <c r="M4" i="4"/>
  <c r="N4" i="4" s="1"/>
  <c r="H4" i="4"/>
  <c r="I4" i="4" s="1"/>
  <c r="C4" i="4"/>
  <c r="D4" i="4" s="1"/>
  <c r="BD3" i="4"/>
  <c r="BA3" i="4"/>
  <c r="BB3" i="4" s="1"/>
  <c r="AY3" i="4"/>
  <c r="AX3" i="4"/>
  <c r="AV3" i="4"/>
  <c r="AW3" i="4" s="1"/>
  <c r="AQ3" i="4"/>
  <c r="AR3" i="4" s="1"/>
  <c r="AL3" i="4"/>
  <c r="AM3" i="4" s="1"/>
  <c r="AJ3" i="4"/>
  <c r="AG3" i="4"/>
  <c r="AH3" i="4" s="1"/>
  <c r="AE3" i="4"/>
  <c r="AD3" i="4"/>
  <c r="AB3" i="4"/>
  <c r="AC3" i="4" s="1"/>
  <c r="W3" i="4"/>
  <c r="X3" i="4" s="1"/>
  <c r="R3" i="4"/>
  <c r="S3" i="4" s="1"/>
  <c r="P3" i="4"/>
  <c r="M3" i="4"/>
  <c r="N3" i="4" s="1"/>
  <c r="K3" i="4"/>
  <c r="J3" i="4"/>
  <c r="H3" i="4"/>
  <c r="I3" i="4" s="1"/>
  <c r="C3" i="4"/>
  <c r="D3" i="4" s="1"/>
  <c r="BA2" i="4"/>
  <c r="BB2" i="4" s="1"/>
  <c r="AY2" i="4"/>
  <c r="AV2" i="4"/>
  <c r="AT2" i="4"/>
  <c r="AS2" i="4"/>
  <c r="AQ2" i="4"/>
  <c r="AL2" i="4"/>
  <c r="AG2" i="4"/>
  <c r="AE2" i="4"/>
  <c r="AB2" i="4"/>
  <c r="Z2" i="4"/>
  <c r="Y2" i="4"/>
  <c r="W2" i="4"/>
  <c r="R2" i="4"/>
  <c r="M2" i="4"/>
  <c r="K2" i="4"/>
  <c r="H2" i="4"/>
  <c r="F2" i="4"/>
  <c r="E2" i="4"/>
  <c r="C2" i="4"/>
  <c r="L40" i="3"/>
  <c r="L39" i="3"/>
  <c r="K39" i="3"/>
  <c r="M38" i="3"/>
  <c r="L38" i="3"/>
  <c r="K38" i="3"/>
  <c r="J38" i="3"/>
  <c r="G38" i="3"/>
  <c r="F38" i="3"/>
  <c r="E38" i="3"/>
  <c r="D38" i="3"/>
  <c r="C38" i="3"/>
  <c r="M37" i="3"/>
  <c r="L37" i="3"/>
  <c r="K37" i="3"/>
  <c r="J37" i="3"/>
  <c r="J40" i="3" s="1"/>
  <c r="G37" i="3"/>
  <c r="G39" i="3" s="1"/>
  <c r="F37" i="3"/>
  <c r="E37" i="3"/>
  <c r="D37" i="3"/>
  <c r="C37" i="3"/>
  <c r="M36" i="3"/>
  <c r="M40" i="3" s="1"/>
  <c r="L36" i="3"/>
  <c r="K36" i="3"/>
  <c r="J36" i="3"/>
  <c r="G36" i="3"/>
  <c r="F36" i="3"/>
  <c r="E36" i="3"/>
  <c r="E40" i="3" s="1"/>
  <c r="D36" i="3"/>
  <c r="D40" i="3" s="1"/>
  <c r="C36" i="3"/>
  <c r="M35" i="3"/>
  <c r="L35" i="3"/>
  <c r="K35" i="3"/>
  <c r="J35" i="3"/>
  <c r="H35" i="3"/>
  <c r="G35" i="3"/>
  <c r="F35" i="3"/>
  <c r="E35" i="3"/>
  <c r="D35" i="3"/>
  <c r="C35" i="3"/>
  <c r="I34" i="3"/>
  <c r="H34" i="3"/>
  <c r="I33" i="3"/>
  <c r="I26" i="3"/>
  <c r="I23" i="3"/>
  <c r="H23" i="3"/>
  <c r="I21" i="3"/>
  <c r="H21" i="3"/>
  <c r="I19" i="3"/>
  <c r="H19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H38" i="3" s="1"/>
  <c r="I5" i="3"/>
  <c r="I38" i="3" s="1"/>
  <c r="H5" i="3"/>
  <c r="H36" i="3" s="1"/>
  <c r="W43" i="2"/>
  <c r="B12" i="5" s="1"/>
  <c r="U43" i="2"/>
  <c r="B11" i="5" s="1"/>
  <c r="S43" i="2"/>
  <c r="B10" i="5" s="1"/>
  <c r="Q43" i="2"/>
  <c r="B9" i="5" s="1"/>
  <c r="K43" i="2"/>
  <c r="B6" i="5" s="1"/>
  <c r="I43" i="2"/>
  <c r="B5" i="5" s="1"/>
  <c r="G43" i="2"/>
  <c r="B4" i="5" s="1"/>
  <c r="E43" i="2"/>
  <c r="B3" i="5" s="1"/>
  <c r="B2" i="5"/>
  <c r="C41" i="2"/>
  <c r="W37" i="2"/>
  <c r="U37" i="2"/>
  <c r="S37" i="2"/>
  <c r="Q37" i="2"/>
  <c r="K37" i="2"/>
  <c r="I37" i="2"/>
  <c r="G37" i="2"/>
  <c r="E37" i="2"/>
  <c r="C37" i="2"/>
  <c r="W36" i="2"/>
  <c r="U36" i="2"/>
  <c r="S36" i="2"/>
  <c r="Q36" i="2"/>
  <c r="K36" i="2"/>
  <c r="I36" i="2"/>
  <c r="G36" i="2"/>
  <c r="E36" i="2"/>
  <c r="C36" i="2"/>
  <c r="W35" i="2"/>
  <c r="U35" i="2"/>
  <c r="S35" i="2"/>
  <c r="Q35" i="2"/>
  <c r="K35" i="2"/>
  <c r="I35" i="2"/>
  <c r="G35" i="2"/>
  <c r="E35" i="2"/>
  <c r="C35" i="2"/>
  <c r="X34" i="2"/>
  <c r="V34" i="2"/>
  <c r="T34" i="2"/>
  <c r="R34" i="2"/>
  <c r="P34" i="2"/>
  <c r="N34" i="2"/>
  <c r="L34" i="2"/>
  <c r="J34" i="2"/>
  <c r="H34" i="2"/>
  <c r="F34" i="2"/>
  <c r="D34" i="2"/>
  <c r="X33" i="2"/>
  <c r="V33" i="2"/>
  <c r="T33" i="2"/>
  <c r="R33" i="2"/>
  <c r="O33" i="2"/>
  <c r="P33" i="2" s="1"/>
  <c r="N33" i="2"/>
  <c r="L33" i="2"/>
  <c r="J33" i="2"/>
  <c r="H33" i="2"/>
  <c r="F33" i="2"/>
  <c r="D33" i="2"/>
  <c r="X32" i="2"/>
  <c r="V32" i="2"/>
  <c r="T32" i="2"/>
  <c r="R32" i="2"/>
  <c r="P32" i="2"/>
  <c r="N32" i="2"/>
  <c r="L32" i="2"/>
  <c r="J32" i="2"/>
  <c r="H32" i="2"/>
  <c r="F32" i="2"/>
  <c r="D32" i="2"/>
  <c r="X31" i="2"/>
  <c r="V31" i="2"/>
  <c r="T31" i="2"/>
  <c r="R31" i="2"/>
  <c r="P31" i="2"/>
  <c r="N31" i="2"/>
  <c r="L31" i="2"/>
  <c r="J31" i="2"/>
  <c r="H31" i="2"/>
  <c r="F31" i="2"/>
  <c r="D31" i="2"/>
  <c r="X30" i="2"/>
  <c r="V30" i="2"/>
  <c r="T30" i="2"/>
  <c r="R30" i="2"/>
  <c r="P30" i="2"/>
  <c r="N30" i="2"/>
  <c r="L30" i="2"/>
  <c r="J30" i="2"/>
  <c r="H30" i="2"/>
  <c r="F30" i="2"/>
  <c r="D30" i="2"/>
  <c r="X29" i="2"/>
  <c r="V29" i="2"/>
  <c r="T29" i="2"/>
  <c r="R29" i="2"/>
  <c r="P29" i="2"/>
  <c r="N29" i="2"/>
  <c r="L29" i="2"/>
  <c r="J29" i="2"/>
  <c r="H29" i="2"/>
  <c r="F29" i="2"/>
  <c r="D29" i="2"/>
  <c r="X28" i="2"/>
  <c r="V28" i="2"/>
  <c r="T28" i="2"/>
  <c r="R28" i="2"/>
  <c r="P28" i="2"/>
  <c r="N28" i="2"/>
  <c r="L28" i="2"/>
  <c r="J28" i="2"/>
  <c r="H28" i="2"/>
  <c r="F28" i="2"/>
  <c r="D28" i="2"/>
  <c r="X27" i="2"/>
  <c r="V27" i="2"/>
  <c r="T27" i="2"/>
  <c r="R27" i="2"/>
  <c r="P27" i="2"/>
  <c r="N27" i="2"/>
  <c r="L27" i="2"/>
  <c r="J27" i="2"/>
  <c r="H27" i="2"/>
  <c r="F27" i="2"/>
  <c r="D27" i="2"/>
  <c r="X26" i="2"/>
  <c r="V26" i="2"/>
  <c r="T26" i="2"/>
  <c r="R26" i="2"/>
  <c r="O26" i="2"/>
  <c r="P26" i="2" s="1"/>
  <c r="N26" i="2"/>
  <c r="L26" i="2"/>
  <c r="J26" i="2"/>
  <c r="H26" i="2"/>
  <c r="F26" i="2"/>
  <c r="D26" i="2"/>
  <c r="X25" i="2"/>
  <c r="V25" i="2"/>
  <c r="T25" i="2"/>
  <c r="R25" i="2"/>
  <c r="P25" i="2"/>
  <c r="N25" i="2"/>
  <c r="L25" i="2"/>
  <c r="J25" i="2"/>
  <c r="H25" i="2"/>
  <c r="F25" i="2"/>
  <c r="D25" i="2"/>
  <c r="X24" i="2"/>
  <c r="V24" i="2"/>
  <c r="T24" i="2"/>
  <c r="R24" i="2"/>
  <c r="P24" i="2"/>
  <c r="N24" i="2"/>
  <c r="L24" i="2"/>
  <c r="J24" i="2"/>
  <c r="H24" i="2"/>
  <c r="F24" i="2"/>
  <c r="D24" i="2"/>
  <c r="X23" i="2"/>
  <c r="V23" i="2"/>
  <c r="T23" i="2"/>
  <c r="R23" i="2"/>
  <c r="O23" i="2"/>
  <c r="P23" i="2" s="1"/>
  <c r="N23" i="2"/>
  <c r="M23" i="2"/>
  <c r="L23" i="2"/>
  <c r="J23" i="2"/>
  <c r="H23" i="2"/>
  <c r="F23" i="2"/>
  <c r="D23" i="2"/>
  <c r="X22" i="2"/>
  <c r="V22" i="2"/>
  <c r="T22" i="2"/>
  <c r="R22" i="2"/>
  <c r="P22" i="2"/>
  <c r="N22" i="2"/>
  <c r="L22" i="2"/>
  <c r="J22" i="2"/>
  <c r="H22" i="2"/>
  <c r="F22" i="2"/>
  <c r="D22" i="2"/>
  <c r="X21" i="2"/>
  <c r="V21" i="2"/>
  <c r="T21" i="2"/>
  <c r="R21" i="2"/>
  <c r="O21" i="2"/>
  <c r="P21" i="2" s="1"/>
  <c r="N21" i="2"/>
  <c r="M21" i="2"/>
  <c r="L21" i="2"/>
  <c r="J21" i="2"/>
  <c r="H21" i="2"/>
  <c r="F21" i="2"/>
  <c r="D21" i="2"/>
  <c r="X20" i="2"/>
  <c r="V20" i="2"/>
  <c r="T20" i="2"/>
  <c r="R20" i="2"/>
  <c r="P20" i="2"/>
  <c r="N20" i="2"/>
  <c r="L20" i="2"/>
  <c r="J20" i="2"/>
  <c r="H20" i="2"/>
  <c r="F20" i="2"/>
  <c r="D20" i="2"/>
  <c r="X19" i="2"/>
  <c r="V19" i="2"/>
  <c r="T19" i="2"/>
  <c r="R19" i="2"/>
  <c r="O19" i="2"/>
  <c r="P19" i="2" s="1"/>
  <c r="M19" i="2"/>
  <c r="N19" i="2" s="1"/>
  <c r="L19" i="2"/>
  <c r="J19" i="2"/>
  <c r="H19" i="2"/>
  <c r="F19" i="2"/>
  <c r="D19" i="2"/>
  <c r="X18" i="2"/>
  <c r="V18" i="2"/>
  <c r="T18" i="2"/>
  <c r="R18" i="2"/>
  <c r="P18" i="2"/>
  <c r="N18" i="2"/>
  <c r="L18" i="2"/>
  <c r="J18" i="2"/>
  <c r="H18" i="2"/>
  <c r="F18" i="2"/>
  <c r="D18" i="2"/>
  <c r="X17" i="2"/>
  <c r="V17" i="2"/>
  <c r="T17" i="2"/>
  <c r="R17" i="2"/>
  <c r="P17" i="2"/>
  <c r="N17" i="2"/>
  <c r="L17" i="2"/>
  <c r="J17" i="2"/>
  <c r="H17" i="2"/>
  <c r="F17" i="2"/>
  <c r="D17" i="2"/>
  <c r="X16" i="2"/>
  <c r="V16" i="2"/>
  <c r="T16" i="2"/>
  <c r="R16" i="2"/>
  <c r="P16" i="2"/>
  <c r="N16" i="2"/>
  <c r="L16" i="2"/>
  <c r="J16" i="2"/>
  <c r="H16" i="2"/>
  <c r="F16" i="2"/>
  <c r="D16" i="2"/>
  <c r="X15" i="2"/>
  <c r="V15" i="2"/>
  <c r="T15" i="2"/>
  <c r="R15" i="2"/>
  <c r="O15" i="2"/>
  <c r="P15" i="2" s="1"/>
  <c r="M15" i="2"/>
  <c r="N15" i="2" s="1"/>
  <c r="L15" i="2"/>
  <c r="J15" i="2"/>
  <c r="H15" i="2"/>
  <c r="F15" i="2"/>
  <c r="D15" i="2"/>
  <c r="X14" i="2"/>
  <c r="V14" i="2"/>
  <c r="T14" i="2"/>
  <c r="R14" i="2"/>
  <c r="P14" i="2"/>
  <c r="O14" i="2"/>
  <c r="M14" i="2"/>
  <c r="N14" i="2" s="1"/>
  <c r="L14" i="2"/>
  <c r="J14" i="2"/>
  <c r="H14" i="2"/>
  <c r="F14" i="2"/>
  <c r="D14" i="2"/>
  <c r="X13" i="2"/>
  <c r="V13" i="2"/>
  <c r="T13" i="2"/>
  <c r="R13" i="2"/>
  <c r="O13" i="2"/>
  <c r="P13" i="2" s="1"/>
  <c r="N13" i="2"/>
  <c r="M13" i="2"/>
  <c r="L13" i="2"/>
  <c r="J13" i="2"/>
  <c r="H13" i="2"/>
  <c r="F13" i="2"/>
  <c r="D13" i="2"/>
  <c r="X12" i="2"/>
  <c r="V12" i="2"/>
  <c r="T12" i="2"/>
  <c r="R12" i="2"/>
  <c r="O12" i="2"/>
  <c r="P12" i="2" s="1"/>
  <c r="N12" i="2"/>
  <c r="M12" i="2"/>
  <c r="L12" i="2"/>
  <c r="J12" i="2"/>
  <c r="H12" i="2"/>
  <c r="F12" i="2"/>
  <c r="D12" i="2"/>
  <c r="X11" i="2"/>
  <c r="V11" i="2"/>
  <c r="T11" i="2"/>
  <c r="R11" i="2"/>
  <c r="O11" i="2"/>
  <c r="P11" i="2" s="1"/>
  <c r="M11" i="2"/>
  <c r="N11" i="2" s="1"/>
  <c r="L11" i="2"/>
  <c r="J11" i="2"/>
  <c r="H11" i="2"/>
  <c r="F11" i="2"/>
  <c r="D11" i="2"/>
  <c r="X10" i="2"/>
  <c r="V10" i="2"/>
  <c r="T10" i="2"/>
  <c r="R10" i="2"/>
  <c r="P10" i="2"/>
  <c r="O10" i="2"/>
  <c r="M10" i="2"/>
  <c r="N10" i="2" s="1"/>
  <c r="L10" i="2"/>
  <c r="J10" i="2"/>
  <c r="H10" i="2"/>
  <c r="F10" i="2"/>
  <c r="D10" i="2"/>
  <c r="X9" i="2"/>
  <c r="V9" i="2"/>
  <c r="T9" i="2"/>
  <c r="R9" i="2"/>
  <c r="O9" i="2"/>
  <c r="P9" i="2" s="1"/>
  <c r="N9" i="2"/>
  <c r="M9" i="2"/>
  <c r="L9" i="2"/>
  <c r="J9" i="2"/>
  <c r="H9" i="2"/>
  <c r="F9" i="2"/>
  <c r="D9" i="2"/>
  <c r="X8" i="2"/>
  <c r="V8" i="2"/>
  <c r="T8" i="2"/>
  <c r="R8" i="2"/>
  <c r="O8" i="2"/>
  <c r="P8" i="2" s="1"/>
  <c r="N8" i="2"/>
  <c r="M8" i="2"/>
  <c r="L8" i="2"/>
  <c r="J8" i="2"/>
  <c r="H8" i="2"/>
  <c r="F8" i="2"/>
  <c r="D8" i="2"/>
  <c r="X7" i="2"/>
  <c r="V7" i="2"/>
  <c r="T7" i="2"/>
  <c r="R7" i="2"/>
  <c r="O7" i="2"/>
  <c r="O43" i="2" s="1"/>
  <c r="B8" i="5" s="1"/>
  <c r="M7" i="2"/>
  <c r="N7" i="2" s="1"/>
  <c r="L7" i="2"/>
  <c r="J7" i="2"/>
  <c r="H7" i="2"/>
  <c r="F7" i="2"/>
  <c r="D7" i="2"/>
  <c r="X6" i="2"/>
  <c r="X35" i="2" s="1"/>
  <c r="X38" i="2" s="1"/>
  <c r="W38" i="2" s="1"/>
  <c r="V6" i="2"/>
  <c r="T6" i="2"/>
  <c r="R6" i="2"/>
  <c r="P6" i="2"/>
  <c r="O6" i="2"/>
  <c r="M6" i="2"/>
  <c r="N6" i="2" s="1"/>
  <c r="L6" i="2"/>
  <c r="J6" i="2"/>
  <c r="H6" i="2"/>
  <c r="F6" i="2"/>
  <c r="D6" i="2"/>
  <c r="X5" i="2"/>
  <c r="V5" i="2"/>
  <c r="T5" i="2"/>
  <c r="R5" i="2"/>
  <c r="O5" i="2"/>
  <c r="N5" i="2"/>
  <c r="M5" i="2"/>
  <c r="L5" i="2"/>
  <c r="J5" i="2"/>
  <c r="H5" i="2"/>
  <c r="H35" i="2" s="1"/>
  <c r="H38" i="2" s="1"/>
  <c r="G38" i="2" s="1"/>
  <c r="F5" i="2"/>
  <c r="D5" i="2"/>
  <c r="X4" i="2"/>
  <c r="V4" i="2"/>
  <c r="T4" i="2"/>
  <c r="R4" i="2"/>
  <c r="P4" i="2"/>
  <c r="N4" i="2"/>
  <c r="L4" i="2"/>
  <c r="J4" i="2"/>
  <c r="H4" i="2"/>
  <c r="F4" i="2"/>
  <c r="D4" i="2"/>
  <c r="X3" i="2"/>
  <c r="V3" i="2"/>
  <c r="T3" i="2"/>
  <c r="T35" i="2" s="1"/>
  <c r="T38" i="2" s="1"/>
  <c r="S38" i="2" s="1"/>
  <c r="R3" i="2"/>
  <c r="P3" i="2"/>
  <c r="N3" i="2"/>
  <c r="L3" i="2"/>
  <c r="L35" i="2" s="1"/>
  <c r="L38" i="2" s="1"/>
  <c r="K38" i="2" s="1"/>
  <c r="J3" i="2"/>
  <c r="H3" i="2"/>
  <c r="F3" i="2"/>
  <c r="D3" i="2"/>
  <c r="D35" i="2" s="1"/>
  <c r="D38" i="2" s="1"/>
  <c r="C38" i="2" s="1"/>
  <c r="AK10" i="1"/>
  <c r="AD10" i="1"/>
  <c r="AA10" i="1"/>
  <c r="Y10" i="1"/>
  <c r="W10" i="1"/>
  <c r="S10" i="1"/>
  <c r="R10" i="1"/>
  <c r="Q10" i="1"/>
  <c r="P10" i="1"/>
  <c r="O10" i="1"/>
  <c r="N10" i="1"/>
  <c r="M10" i="1"/>
  <c r="L10" i="1"/>
  <c r="K10" i="1"/>
  <c r="J10" i="1"/>
  <c r="I10" i="1"/>
  <c r="AA9" i="1"/>
  <c r="Y9" i="1"/>
  <c r="W9" i="1"/>
  <c r="S9" i="1"/>
  <c r="R9" i="1"/>
  <c r="Q9" i="1"/>
  <c r="P9" i="1"/>
  <c r="O9" i="1"/>
  <c r="N9" i="1"/>
  <c r="M9" i="1"/>
  <c r="L9" i="1"/>
  <c r="K9" i="1"/>
  <c r="J9" i="1"/>
  <c r="I9" i="1"/>
  <c r="P64" i="9" l="1"/>
  <c r="J65" i="9"/>
  <c r="Q40" i="9"/>
  <c r="Q34" i="9"/>
  <c r="Q29" i="9"/>
  <c r="P6" i="9"/>
  <c r="Q41" i="9"/>
  <c r="J41" i="9"/>
  <c r="J36" i="9"/>
  <c r="J32" i="9"/>
  <c r="J29" i="9"/>
  <c r="P18" i="9"/>
  <c r="P17" i="9"/>
  <c r="P10" i="9"/>
  <c r="P9" i="9"/>
  <c r="P15" i="9"/>
  <c r="Q14" i="9"/>
  <c r="J9" i="9"/>
  <c r="P7" i="9"/>
  <c r="Q6" i="9"/>
  <c r="J3" i="9"/>
  <c r="J26" i="9"/>
  <c r="P16" i="9"/>
  <c r="J15" i="9"/>
  <c r="P14" i="9"/>
  <c r="P13" i="9"/>
  <c r="P12" i="9"/>
  <c r="P8" i="9"/>
  <c r="J7" i="9"/>
  <c r="P5" i="9"/>
  <c r="P26" i="9"/>
  <c r="J17" i="9"/>
  <c r="Q16" i="9"/>
  <c r="J11" i="9"/>
  <c r="Q8" i="9"/>
  <c r="P28" i="9"/>
  <c r="J28" i="9"/>
  <c r="Q27" i="9"/>
  <c r="J27" i="9"/>
  <c r="N65" i="9"/>
  <c r="I7" i="9"/>
  <c r="X40" i="9" s="1"/>
  <c r="I4" i="9"/>
  <c r="R3" i="9" s="1"/>
  <c r="P3" i="9"/>
  <c r="Q4" i="9"/>
  <c r="J5" i="9"/>
  <c r="Q10" i="9"/>
  <c r="P11" i="9"/>
  <c r="Q12" i="9"/>
  <c r="J13" i="9"/>
  <c r="Q18" i="9"/>
  <c r="Q26" i="9"/>
  <c r="Q28" i="9"/>
  <c r="P30" i="9"/>
  <c r="J31" i="9"/>
  <c r="P32" i="9"/>
  <c r="J34" i="9"/>
  <c r="J35" i="9"/>
  <c r="Q35" i="9"/>
  <c r="P36" i="9"/>
  <c r="J37" i="9"/>
  <c r="J38" i="9"/>
  <c r="P38" i="9"/>
  <c r="J40" i="9"/>
  <c r="P40" i="9"/>
  <c r="J30" i="9"/>
  <c r="Q30" i="9"/>
  <c r="Q31" i="9"/>
  <c r="Q32" i="9"/>
  <c r="J33" i="9"/>
  <c r="Q33" i="9"/>
  <c r="P34" i="9"/>
  <c r="Q36" i="9"/>
  <c r="Q37" i="9"/>
  <c r="Q38" i="9"/>
  <c r="J39" i="9"/>
  <c r="Q39" i="9"/>
  <c r="P19" i="9"/>
  <c r="K70" i="9" s="1"/>
  <c r="W28" i="9"/>
  <c r="V31" i="9"/>
  <c r="V35" i="9"/>
  <c r="S6" i="9"/>
  <c r="R7" i="9"/>
  <c r="S10" i="9"/>
  <c r="S14" i="9"/>
  <c r="R15" i="9"/>
  <c r="S18" i="9"/>
  <c r="K27" i="9"/>
  <c r="S28" i="9"/>
  <c r="R29" i="9"/>
  <c r="S31" i="9"/>
  <c r="R34" i="9"/>
  <c r="K35" i="9"/>
  <c r="R37" i="9"/>
  <c r="K38" i="9"/>
  <c r="Q3" i="9"/>
  <c r="J4" i="9"/>
  <c r="Q5" i="9"/>
  <c r="J6" i="9"/>
  <c r="Q7" i="9"/>
  <c r="J8" i="9"/>
  <c r="Q9" i="9"/>
  <c r="J10" i="9"/>
  <c r="Q11" i="9"/>
  <c r="J12" i="9"/>
  <c r="Q13" i="9"/>
  <c r="J14" i="9"/>
  <c r="Q15" i="9"/>
  <c r="J16" i="9"/>
  <c r="Q17" i="9"/>
  <c r="J18" i="9"/>
  <c r="P27" i="9"/>
  <c r="P29" i="9"/>
  <c r="P31" i="9"/>
  <c r="P33" i="9"/>
  <c r="P35" i="9"/>
  <c r="P37" i="9"/>
  <c r="P39" i="9"/>
  <c r="P41" i="9"/>
  <c r="P19" i="7"/>
  <c r="K69" i="7" s="1"/>
  <c r="R19" i="7"/>
  <c r="K71" i="7" s="1"/>
  <c r="T19" i="7"/>
  <c r="K73" i="7" s="1"/>
  <c r="V19" i="7"/>
  <c r="K75" i="7" s="1"/>
  <c r="W19" i="7"/>
  <c r="L75" i="7" s="1"/>
  <c r="X19" i="7"/>
  <c r="K77" i="7" s="1"/>
  <c r="M77" i="7" s="1"/>
  <c r="J77" i="7" s="1"/>
  <c r="P42" i="7"/>
  <c r="K70" i="7" s="1"/>
  <c r="T42" i="7"/>
  <c r="K74" i="7" s="1"/>
  <c r="K78" i="7"/>
  <c r="M78" i="7" s="1"/>
  <c r="J78" i="7" s="1"/>
  <c r="Q19" i="7"/>
  <c r="L69" i="7" s="1"/>
  <c r="S19" i="7"/>
  <c r="L71" i="7" s="1"/>
  <c r="U19" i="7"/>
  <c r="L73" i="7" s="1"/>
  <c r="Q42" i="7"/>
  <c r="L70" i="7" s="1"/>
  <c r="U42" i="7"/>
  <c r="L74" i="7" s="1"/>
  <c r="R42" i="7"/>
  <c r="K72" i="7" s="1"/>
  <c r="V42" i="7"/>
  <c r="K76" i="7" s="1"/>
  <c r="S42" i="7"/>
  <c r="L72" i="7" s="1"/>
  <c r="W42" i="7"/>
  <c r="L76" i="7" s="1"/>
  <c r="J59" i="7"/>
  <c r="P62" i="7"/>
  <c r="K43" i="7"/>
  <c r="N43" i="7"/>
  <c r="I54" i="1"/>
  <c r="V35" i="2"/>
  <c r="AD5" i="4"/>
  <c r="AC5" i="4"/>
  <c r="AE5" i="4"/>
  <c r="F35" i="2"/>
  <c r="O36" i="2"/>
  <c r="P7" i="2"/>
  <c r="H40" i="3"/>
  <c r="V38" i="2"/>
  <c r="U38" i="2" s="1"/>
  <c r="AD7" i="4"/>
  <c r="AC7" i="4"/>
  <c r="AE7" i="4"/>
  <c r="N35" i="2"/>
  <c r="J35" i="2"/>
  <c r="R35" i="2"/>
  <c r="R38" i="2" s="1"/>
  <c r="Q38" i="2" s="1"/>
  <c r="M43" i="2"/>
  <c r="B7" i="5" s="1"/>
  <c r="M36" i="2"/>
  <c r="M37" i="2"/>
  <c r="M35" i="2"/>
  <c r="N38" i="2" s="1"/>
  <c r="M38" i="2" s="1"/>
  <c r="AC10" i="4"/>
  <c r="AE10" i="4"/>
  <c r="AD10" i="4"/>
  <c r="AI11" i="4"/>
  <c r="AJ11" i="4"/>
  <c r="AH11" i="4"/>
  <c r="I36" i="3"/>
  <c r="E39" i="3"/>
  <c r="K35" i="4"/>
  <c r="R36" i="4"/>
  <c r="R35" i="4"/>
  <c r="S2" i="4"/>
  <c r="AL36" i="4"/>
  <c r="AM2" i="4"/>
  <c r="AA36" i="4"/>
  <c r="AA35" i="4"/>
  <c r="AB4" i="4"/>
  <c r="AO6" i="4"/>
  <c r="AN6" i="4"/>
  <c r="AY6" i="4"/>
  <c r="AY36" i="4" s="1"/>
  <c r="AX6" i="4"/>
  <c r="F7" i="4"/>
  <c r="E7" i="4"/>
  <c r="P7" i="4"/>
  <c r="O7" i="4"/>
  <c r="Z7" i="4"/>
  <c r="Y7" i="4"/>
  <c r="AI8" i="4"/>
  <c r="AH8" i="4"/>
  <c r="AS9" i="4"/>
  <c r="AT9" i="4"/>
  <c r="J10" i="4"/>
  <c r="K10" i="4"/>
  <c r="AN11" i="4"/>
  <c r="AO11" i="4"/>
  <c r="E12" i="4"/>
  <c r="F12" i="4"/>
  <c r="Y12" i="4"/>
  <c r="Z12" i="4"/>
  <c r="AX13" i="4"/>
  <c r="AY13" i="4"/>
  <c r="AW13" i="4"/>
  <c r="O14" i="4"/>
  <c r="P14" i="4"/>
  <c r="N14" i="4"/>
  <c r="O37" i="2"/>
  <c r="F38" i="2"/>
  <c r="E38" i="2" s="1"/>
  <c r="J38" i="2"/>
  <c r="I38" i="2" s="1"/>
  <c r="P5" i="2"/>
  <c r="P35" i="2" s="1"/>
  <c r="O35" i="2"/>
  <c r="I35" i="3"/>
  <c r="F39" i="3"/>
  <c r="J39" i="3"/>
  <c r="F40" i="3"/>
  <c r="M35" i="4"/>
  <c r="N2" i="4"/>
  <c r="T2" i="4"/>
  <c r="Z34" i="4"/>
  <c r="AG36" i="4"/>
  <c r="AH2" i="4"/>
  <c r="AG35" i="4"/>
  <c r="AN2" i="4"/>
  <c r="E3" i="4"/>
  <c r="E34" i="4" s="1"/>
  <c r="Y3" i="4"/>
  <c r="Y34" i="4" s="1"/>
  <c r="AS3" i="4"/>
  <c r="AS35" i="4" s="1"/>
  <c r="J4" i="4"/>
  <c r="AM4" i="4"/>
  <c r="D5" i="4"/>
  <c r="U5" i="4"/>
  <c r="T5" i="4"/>
  <c r="AI5" i="4"/>
  <c r="AM6" i="4"/>
  <c r="AW6" i="4"/>
  <c r="D7" i="4"/>
  <c r="N7" i="4"/>
  <c r="X7" i="4"/>
  <c r="AJ8" i="4"/>
  <c r="AI9" i="4"/>
  <c r="AH9" i="4"/>
  <c r="AR9" i="4"/>
  <c r="I10" i="4"/>
  <c r="AE11" i="4"/>
  <c r="AD11" i="4"/>
  <c r="AC11" i="4"/>
  <c r="AM11" i="4"/>
  <c r="D12" i="4"/>
  <c r="X12" i="4"/>
  <c r="AI13" i="4"/>
  <c r="AJ13" i="4"/>
  <c r="BC13" i="4"/>
  <c r="BD13" i="4"/>
  <c r="T14" i="4"/>
  <c r="U14" i="4"/>
  <c r="AH18" i="4"/>
  <c r="AS18" i="4"/>
  <c r="AT18" i="4"/>
  <c r="AR18" i="4"/>
  <c r="J19" i="4"/>
  <c r="K19" i="4"/>
  <c r="I19" i="4"/>
  <c r="AD19" i="4"/>
  <c r="AE19" i="4"/>
  <c r="AC19" i="4"/>
  <c r="AX19" i="4"/>
  <c r="AY19" i="4"/>
  <c r="AW19" i="4"/>
  <c r="O20" i="4"/>
  <c r="P20" i="4"/>
  <c r="N20" i="4"/>
  <c r="AI25" i="4"/>
  <c r="AR25" i="4"/>
  <c r="AT25" i="4"/>
  <c r="AS25" i="4"/>
  <c r="I26" i="4"/>
  <c r="K26" i="4"/>
  <c r="J26" i="4"/>
  <c r="AC26" i="4"/>
  <c r="AE26" i="4"/>
  <c r="AD26" i="4"/>
  <c r="AW26" i="4"/>
  <c r="AY26" i="4"/>
  <c r="AX26" i="4"/>
  <c r="N27" i="4"/>
  <c r="P27" i="4"/>
  <c r="O27" i="4"/>
  <c r="AE33" i="4"/>
  <c r="AD33" i="4"/>
  <c r="AC33" i="4"/>
  <c r="AL35" i="4"/>
  <c r="M36" i="4"/>
  <c r="C40" i="3"/>
  <c r="G40" i="3"/>
  <c r="K40" i="3"/>
  <c r="H37" i="3"/>
  <c r="H39" i="3" s="1"/>
  <c r="C39" i="3"/>
  <c r="M39" i="3"/>
  <c r="H36" i="4"/>
  <c r="I2" i="4"/>
  <c r="H35" i="4"/>
  <c r="O2" i="4"/>
  <c r="U2" i="4"/>
  <c r="AB36" i="4"/>
  <c r="AC2" i="4"/>
  <c r="AI2" i="4"/>
  <c r="AO2" i="4"/>
  <c r="AV36" i="4"/>
  <c r="AV35" i="4"/>
  <c r="AW2" i="4"/>
  <c r="BC2" i="4"/>
  <c r="F3" i="4"/>
  <c r="F36" i="4" s="1"/>
  <c r="T3" i="4"/>
  <c r="Z3" i="4"/>
  <c r="Z35" i="4" s="1"/>
  <c r="AN3" i="4"/>
  <c r="AT3" i="4"/>
  <c r="AT35" i="4" s="1"/>
  <c r="E4" i="4"/>
  <c r="K4" i="4"/>
  <c r="K34" i="4" s="1"/>
  <c r="Y4" i="4"/>
  <c r="AH4" i="4"/>
  <c r="AN4" i="4"/>
  <c r="BB4" i="4"/>
  <c r="BB34" i="4" s="1"/>
  <c r="E5" i="4"/>
  <c r="E36" i="4" s="1"/>
  <c r="S5" i="4"/>
  <c r="AJ5" i="4"/>
  <c r="AJ6" i="4"/>
  <c r="AI6" i="4"/>
  <c r="AT6" i="4"/>
  <c r="AS6" i="4"/>
  <c r="BD6" i="4"/>
  <c r="BC6" i="4"/>
  <c r="K7" i="4"/>
  <c r="J7" i="4"/>
  <c r="U7" i="4"/>
  <c r="T7" i="4"/>
  <c r="AI7" i="4"/>
  <c r="J8" i="4"/>
  <c r="K8" i="4"/>
  <c r="I8" i="4"/>
  <c r="AC8" i="4"/>
  <c r="AD8" i="4"/>
  <c r="AJ9" i="4"/>
  <c r="AJ10" i="4"/>
  <c r="AI10" i="4"/>
  <c r="AE13" i="4"/>
  <c r="AD13" i="4"/>
  <c r="AH13" i="4"/>
  <c r="BB13" i="4"/>
  <c r="S14" i="4"/>
  <c r="AJ18" i="4"/>
  <c r="AX18" i="4"/>
  <c r="AY18" i="4"/>
  <c r="O19" i="4"/>
  <c r="P19" i="4"/>
  <c r="AI19" i="4"/>
  <c r="AJ19" i="4"/>
  <c r="BC19" i="4"/>
  <c r="BD19" i="4"/>
  <c r="T20" i="4"/>
  <c r="U20" i="4"/>
  <c r="AH22" i="4"/>
  <c r="AS22" i="4"/>
  <c r="AT22" i="4"/>
  <c r="AT34" i="4" s="1"/>
  <c r="AR22" i="4"/>
  <c r="J23" i="4"/>
  <c r="K23" i="4"/>
  <c r="I23" i="4"/>
  <c r="AD23" i="4"/>
  <c r="AE23" i="4"/>
  <c r="AC23" i="4"/>
  <c r="AX23" i="4"/>
  <c r="AY23" i="4"/>
  <c r="AW23" i="4"/>
  <c r="O24" i="4"/>
  <c r="P24" i="4"/>
  <c r="N24" i="4"/>
  <c r="AI24" i="4"/>
  <c r="AJ24" i="4"/>
  <c r="AH24" i="4"/>
  <c r="BC24" i="4"/>
  <c r="BD24" i="4"/>
  <c r="BB24" i="4"/>
  <c r="T25" i="4"/>
  <c r="U25" i="4"/>
  <c r="S25" i="4"/>
  <c r="AJ25" i="4"/>
  <c r="AW25" i="4"/>
  <c r="AY25" i="4"/>
  <c r="N26" i="4"/>
  <c r="P26" i="4"/>
  <c r="AH26" i="4"/>
  <c r="AJ26" i="4"/>
  <c r="BB26" i="4"/>
  <c r="BD26" i="4"/>
  <c r="S27" i="4"/>
  <c r="U27" i="4"/>
  <c r="AI33" i="4"/>
  <c r="AH33" i="4"/>
  <c r="AJ33" i="4"/>
  <c r="I37" i="3"/>
  <c r="D39" i="3"/>
  <c r="C36" i="4"/>
  <c r="C35" i="4"/>
  <c r="D2" i="4"/>
  <c r="J2" i="4"/>
  <c r="P2" i="4"/>
  <c r="W36" i="4"/>
  <c r="W35" i="4"/>
  <c r="X2" i="4"/>
  <c r="AD2" i="4"/>
  <c r="AJ2" i="4"/>
  <c r="AQ35" i="4"/>
  <c r="AQ36" i="4"/>
  <c r="AR2" i="4"/>
  <c r="AX2" i="4"/>
  <c r="BD2" i="4"/>
  <c r="O3" i="4"/>
  <c r="U3" i="4"/>
  <c r="AI3" i="4"/>
  <c r="AO3" i="4"/>
  <c r="BC3" i="4"/>
  <c r="F4" i="4"/>
  <c r="T4" i="4"/>
  <c r="Z4" i="4"/>
  <c r="AI4" i="4"/>
  <c r="AW4" i="4"/>
  <c r="BC4" i="4"/>
  <c r="N5" i="4"/>
  <c r="Z5" i="4"/>
  <c r="Y5" i="4"/>
  <c r="AC6" i="4"/>
  <c r="AH6" i="4"/>
  <c r="AR6" i="4"/>
  <c r="BB6" i="4"/>
  <c r="I7" i="4"/>
  <c r="S7" i="4"/>
  <c r="AJ7" i="4"/>
  <c r="O8" i="4"/>
  <c r="P8" i="4"/>
  <c r="AE8" i="4"/>
  <c r="AN9" i="4"/>
  <c r="AO9" i="4"/>
  <c r="AM9" i="4"/>
  <c r="E10" i="4"/>
  <c r="F10" i="4"/>
  <c r="D10" i="4"/>
  <c r="Y10" i="4"/>
  <c r="Z10" i="4"/>
  <c r="X10" i="4"/>
  <c r="AH10" i="4"/>
  <c r="BC11" i="4"/>
  <c r="BD11" i="4"/>
  <c r="BB11" i="4"/>
  <c r="T12" i="4"/>
  <c r="U12" i="4"/>
  <c r="S12" i="4"/>
  <c r="AC12" i="4"/>
  <c r="AE12" i="4"/>
  <c r="AC13" i="4"/>
  <c r="AD14" i="4"/>
  <c r="AJ22" i="4"/>
  <c r="AX22" i="4"/>
  <c r="AY22" i="4"/>
  <c r="O23" i="4"/>
  <c r="P23" i="4"/>
  <c r="AI23" i="4"/>
  <c r="AJ23" i="4"/>
  <c r="BC23" i="4"/>
  <c r="BD23" i="4"/>
  <c r="T24" i="4"/>
  <c r="U24" i="4"/>
  <c r="AN24" i="4"/>
  <c r="AO24" i="4"/>
  <c r="E25" i="4"/>
  <c r="F25" i="4"/>
  <c r="Y25" i="4"/>
  <c r="Z25" i="4"/>
  <c r="AX25" i="4"/>
  <c r="O26" i="4"/>
  <c r="AI26" i="4"/>
  <c r="BC26" i="4"/>
  <c r="T27" i="4"/>
  <c r="AB35" i="4"/>
  <c r="AF36" i="4"/>
  <c r="AF35" i="4"/>
  <c r="D8" i="4"/>
  <c r="X8" i="4"/>
  <c r="AC9" i="4"/>
  <c r="BB9" i="4"/>
  <c r="S10" i="4"/>
  <c r="AW11" i="4"/>
  <c r="N12" i="4"/>
  <c r="AR13" i="4"/>
  <c r="I14" i="4"/>
  <c r="AM18" i="4"/>
  <c r="D19" i="4"/>
  <c r="X19" i="4"/>
  <c r="AR19" i="4"/>
  <c r="I20" i="4"/>
  <c r="AM22" i="4"/>
  <c r="D23" i="4"/>
  <c r="X23" i="4"/>
  <c r="AR23" i="4"/>
  <c r="I24" i="4"/>
  <c r="AC24" i="4"/>
  <c r="AW24" i="4"/>
  <c r="N25" i="4"/>
  <c r="AN25" i="4"/>
  <c r="E26" i="4"/>
  <c r="Y26" i="4"/>
  <c r="AS26" i="4"/>
  <c r="J27" i="4"/>
  <c r="AM33" i="4"/>
  <c r="AR33" i="4"/>
  <c r="AW33" i="4"/>
  <c r="BB33" i="4"/>
  <c r="M41" i="9" l="1"/>
  <c r="V38" i="9"/>
  <c r="V36" i="9"/>
  <c r="M35" i="9"/>
  <c r="V32" i="9"/>
  <c r="M31" i="9"/>
  <c r="V27" i="9"/>
  <c r="W17" i="9"/>
  <c r="M17" i="9"/>
  <c r="W15" i="9"/>
  <c r="M15" i="9"/>
  <c r="W13" i="9"/>
  <c r="M13" i="9"/>
  <c r="W11" i="9"/>
  <c r="M11" i="9"/>
  <c r="W9" i="9"/>
  <c r="M9" i="9"/>
  <c r="W7" i="9"/>
  <c r="M7" i="9"/>
  <c r="W5" i="9"/>
  <c r="M5" i="9"/>
  <c r="W3" i="9"/>
  <c r="M3" i="9"/>
  <c r="W18" i="9"/>
  <c r="M16" i="9"/>
  <c r="W14" i="9"/>
  <c r="M12" i="9"/>
  <c r="W10" i="9"/>
  <c r="M8" i="9"/>
  <c r="W6" i="9"/>
  <c r="V39" i="9"/>
  <c r="M38" i="9"/>
  <c r="W36" i="9"/>
  <c r="V33" i="9"/>
  <c r="M32" i="9"/>
  <c r="V28" i="9"/>
  <c r="M27" i="9"/>
  <c r="V16" i="9"/>
  <c r="V12" i="9"/>
  <c r="V8" i="9"/>
  <c r="V4" i="9"/>
  <c r="W41" i="9"/>
  <c r="W37" i="9"/>
  <c r="M37" i="9"/>
  <c r="W35" i="9"/>
  <c r="M34" i="9"/>
  <c r="W31" i="9"/>
  <c r="M29" i="9"/>
  <c r="W26" i="9"/>
  <c r="M26" i="9"/>
  <c r="V17" i="9"/>
  <c r="V15" i="9"/>
  <c r="V13" i="9"/>
  <c r="V11" i="9"/>
  <c r="V9" i="9"/>
  <c r="V7" i="9"/>
  <c r="V5" i="9"/>
  <c r="M18" i="9"/>
  <c r="W16" i="9"/>
  <c r="M14" i="9"/>
  <c r="W12" i="9"/>
  <c r="M10" i="9"/>
  <c r="W8" i="9"/>
  <c r="M6" i="9"/>
  <c r="W4" i="9"/>
  <c r="V3" i="9"/>
  <c r="V41" i="9"/>
  <c r="W38" i="9"/>
  <c r="M36" i="9"/>
  <c r="W32" i="9"/>
  <c r="W27" i="9"/>
  <c r="V18" i="9"/>
  <c r="V14" i="9"/>
  <c r="V10" i="9"/>
  <c r="V6" i="9"/>
  <c r="M4" i="9"/>
  <c r="W40" i="9"/>
  <c r="W39" i="9"/>
  <c r="V37" i="9"/>
  <c r="W34" i="9"/>
  <c r="W30" i="9"/>
  <c r="V29" i="9"/>
  <c r="V26" i="9"/>
  <c r="V40" i="9"/>
  <c r="V34" i="9"/>
  <c r="V30" i="9"/>
  <c r="M28" i="9"/>
  <c r="S36" i="9"/>
  <c r="K30" i="9"/>
  <c r="R26" i="9"/>
  <c r="R11" i="9"/>
  <c r="M40" i="9"/>
  <c r="W33" i="9"/>
  <c r="M30" i="9"/>
  <c r="T40" i="9"/>
  <c r="U39" i="9"/>
  <c r="L38" i="9"/>
  <c r="T37" i="9"/>
  <c r="L36" i="9"/>
  <c r="T34" i="9"/>
  <c r="U33" i="9"/>
  <c r="L32" i="9"/>
  <c r="T30" i="9"/>
  <c r="T29" i="9"/>
  <c r="U28" i="9"/>
  <c r="L27" i="9"/>
  <c r="T26" i="9"/>
  <c r="U18" i="9"/>
  <c r="U16" i="9"/>
  <c r="U14" i="9"/>
  <c r="U12" i="9"/>
  <c r="U10" i="9"/>
  <c r="U8" i="9"/>
  <c r="U6" i="9"/>
  <c r="U4" i="9"/>
  <c r="L4" i="9"/>
  <c r="T3" i="9"/>
  <c r="U13" i="9"/>
  <c r="U9" i="9"/>
  <c r="U5" i="9"/>
  <c r="T41" i="9"/>
  <c r="U40" i="9"/>
  <c r="T35" i="9"/>
  <c r="U30" i="9"/>
  <c r="L18" i="9"/>
  <c r="T15" i="9"/>
  <c r="L14" i="9"/>
  <c r="T11" i="9"/>
  <c r="L10" i="9"/>
  <c r="T7" i="9"/>
  <c r="L6" i="9"/>
  <c r="U3" i="9"/>
  <c r="L41" i="9"/>
  <c r="L40" i="9"/>
  <c r="T39" i="9"/>
  <c r="U38" i="9"/>
  <c r="U36" i="9"/>
  <c r="L35" i="9"/>
  <c r="T33" i="9"/>
  <c r="U32" i="9"/>
  <c r="L31" i="9"/>
  <c r="L30" i="9"/>
  <c r="T28" i="9"/>
  <c r="U27" i="9"/>
  <c r="T18" i="9"/>
  <c r="L17" i="9"/>
  <c r="T16" i="9"/>
  <c r="L15" i="9"/>
  <c r="T14" i="9"/>
  <c r="L13" i="9"/>
  <c r="T12" i="9"/>
  <c r="L11" i="9"/>
  <c r="T10" i="9"/>
  <c r="L9" i="9"/>
  <c r="T8" i="9"/>
  <c r="L7" i="9"/>
  <c r="T6" i="9"/>
  <c r="L5" i="9"/>
  <c r="T4" i="9"/>
  <c r="U17" i="9"/>
  <c r="U15" i="9"/>
  <c r="U11" i="9"/>
  <c r="U7" i="9"/>
  <c r="L3" i="9"/>
  <c r="U37" i="9"/>
  <c r="U34" i="9"/>
  <c r="T31" i="9"/>
  <c r="U29" i="9"/>
  <c r="U26" i="9"/>
  <c r="T17" i="9"/>
  <c r="L16" i="9"/>
  <c r="T13" i="9"/>
  <c r="L12" i="9"/>
  <c r="T9" i="9"/>
  <c r="L8" i="9"/>
  <c r="T5" i="9"/>
  <c r="U41" i="9"/>
  <c r="L39" i="9"/>
  <c r="T38" i="9"/>
  <c r="L37" i="9"/>
  <c r="T36" i="9"/>
  <c r="U35" i="9"/>
  <c r="L34" i="9"/>
  <c r="L33" i="9"/>
  <c r="T32" i="9"/>
  <c r="U31" i="9"/>
  <c r="L29" i="9"/>
  <c r="L28" i="9"/>
  <c r="T27" i="9"/>
  <c r="L26" i="9"/>
  <c r="M39" i="9"/>
  <c r="M33" i="9"/>
  <c r="W29" i="9"/>
  <c r="S39" i="9"/>
  <c r="S41" i="9"/>
  <c r="K41" i="9"/>
  <c r="S38" i="9"/>
  <c r="R36" i="9"/>
  <c r="K36" i="9"/>
  <c r="K34" i="9"/>
  <c r="R32" i="9"/>
  <c r="K32" i="9"/>
  <c r="R30" i="9"/>
  <c r="K29" i="9"/>
  <c r="R18" i="9"/>
  <c r="R17" i="9"/>
  <c r="S16" i="9"/>
  <c r="R10" i="9"/>
  <c r="R9" i="9"/>
  <c r="S8" i="9"/>
  <c r="R41" i="9"/>
  <c r="S40" i="9"/>
  <c r="K40" i="9"/>
  <c r="R38" i="9"/>
  <c r="S33" i="9"/>
  <c r="K33" i="9"/>
  <c r="S27" i="9"/>
  <c r="S26" i="9"/>
  <c r="K18" i="9"/>
  <c r="K17" i="9"/>
  <c r="R16" i="9"/>
  <c r="S15" i="9"/>
  <c r="R14" i="9"/>
  <c r="S13" i="9"/>
  <c r="S19" i="9" s="1"/>
  <c r="L72" i="9" s="1"/>
  <c r="S12" i="9"/>
  <c r="S11" i="9"/>
  <c r="K11" i="9"/>
  <c r="K10" i="9"/>
  <c r="K9" i="9"/>
  <c r="R8" i="9"/>
  <c r="S7" i="9"/>
  <c r="R6" i="9"/>
  <c r="R19" i="9" s="1"/>
  <c r="S5" i="9"/>
  <c r="S4" i="9"/>
  <c r="S3" i="9"/>
  <c r="K3" i="9"/>
  <c r="K7" i="9"/>
  <c r="R5" i="9"/>
  <c r="R4" i="9"/>
  <c r="S17" i="9"/>
  <c r="K16" i="9"/>
  <c r="K14" i="9"/>
  <c r="K13" i="9"/>
  <c r="K12" i="9"/>
  <c r="S9" i="9"/>
  <c r="K8" i="9"/>
  <c r="K6" i="9"/>
  <c r="R40" i="9"/>
  <c r="K39" i="9"/>
  <c r="S37" i="9"/>
  <c r="K37" i="9"/>
  <c r="S35" i="9"/>
  <c r="R33" i="9"/>
  <c r="R31" i="9"/>
  <c r="K31" i="9"/>
  <c r="R28" i="9"/>
  <c r="R42" i="9" s="1"/>
  <c r="K73" i="9" s="1"/>
  <c r="K28" i="9"/>
  <c r="R27" i="9"/>
  <c r="K26" i="9"/>
  <c r="K15" i="9"/>
  <c r="R13" i="9"/>
  <c r="R12" i="9"/>
  <c r="R39" i="9"/>
  <c r="R35" i="9"/>
  <c r="S34" i="9"/>
  <c r="S32" i="9"/>
  <c r="S30" i="9"/>
  <c r="S29" i="9"/>
  <c r="K5" i="9"/>
  <c r="K4" i="9"/>
  <c r="Q42" i="9"/>
  <c r="L71" i="9" s="1"/>
  <c r="X41" i="9"/>
  <c r="N39" i="9"/>
  <c r="N35" i="9"/>
  <c r="N28" i="9"/>
  <c r="X27" i="9"/>
  <c r="N27" i="9"/>
  <c r="X26" i="9"/>
  <c r="N16" i="9"/>
  <c r="X15" i="9"/>
  <c r="X14" i="9"/>
  <c r="N14" i="9"/>
  <c r="X13" i="9"/>
  <c r="N13" i="9"/>
  <c r="X12" i="9"/>
  <c r="N12" i="9"/>
  <c r="X11" i="9"/>
  <c r="N8" i="9"/>
  <c r="X7" i="9"/>
  <c r="X6" i="9"/>
  <c r="N6" i="9"/>
  <c r="X5" i="9"/>
  <c r="N5" i="9"/>
  <c r="X4" i="9"/>
  <c r="N4" i="9"/>
  <c r="X3" i="9"/>
  <c r="X8" i="9"/>
  <c r="X37" i="9"/>
  <c r="N36" i="9"/>
  <c r="N34" i="9"/>
  <c r="X33" i="9"/>
  <c r="N32" i="9"/>
  <c r="N30" i="9"/>
  <c r="N29" i="9"/>
  <c r="N11" i="9"/>
  <c r="N9" i="9"/>
  <c r="N3" i="9"/>
  <c r="N26" i="9"/>
  <c r="X18" i="9"/>
  <c r="X16" i="9"/>
  <c r="N15" i="9"/>
  <c r="X10" i="9"/>
  <c r="N7" i="9"/>
  <c r="N41" i="9"/>
  <c r="X39" i="9"/>
  <c r="N38" i="9"/>
  <c r="X35" i="9"/>
  <c r="X32" i="9"/>
  <c r="X31" i="9"/>
  <c r="X28" i="9"/>
  <c r="N18" i="9"/>
  <c r="X17" i="9"/>
  <c r="N17" i="9"/>
  <c r="N10" i="9"/>
  <c r="X9" i="9"/>
  <c r="N40" i="9"/>
  <c r="X38" i="9"/>
  <c r="N37" i="9"/>
  <c r="X36" i="9"/>
  <c r="X34" i="9"/>
  <c r="N33" i="9"/>
  <c r="N31" i="9"/>
  <c r="X30" i="9"/>
  <c r="X29" i="9"/>
  <c r="S42" i="9"/>
  <c r="L73" i="9" s="1"/>
  <c r="P42" i="9"/>
  <c r="J42" i="9" s="1"/>
  <c r="Q19" i="9"/>
  <c r="M74" i="7"/>
  <c r="J74" i="7" s="1"/>
  <c r="M75" i="7"/>
  <c r="J75" i="7" s="1"/>
  <c r="M70" i="7"/>
  <c r="J70" i="7" s="1"/>
  <c r="M76" i="7"/>
  <c r="J76" i="7" s="1"/>
  <c r="M72" i="7"/>
  <c r="J72" i="7" s="1"/>
  <c r="M73" i="7"/>
  <c r="J73" i="7" s="1"/>
  <c r="M71" i="7"/>
  <c r="J71" i="7" s="1"/>
  <c r="M69" i="7"/>
  <c r="J69" i="7" s="1"/>
  <c r="J43" i="7"/>
  <c r="L43" i="7"/>
  <c r="M43" i="7"/>
  <c r="E37" i="4"/>
  <c r="AY37" i="4"/>
  <c r="H37" i="4"/>
  <c r="U38" i="4"/>
  <c r="AD34" i="4"/>
  <c r="BC34" i="4"/>
  <c r="U36" i="4"/>
  <c r="U35" i="4"/>
  <c r="U34" i="4"/>
  <c r="AY35" i="4"/>
  <c r="AM35" i="4"/>
  <c r="AM36" i="4"/>
  <c r="AM34" i="4"/>
  <c r="X36" i="4"/>
  <c r="X34" i="4"/>
  <c r="X35" i="4"/>
  <c r="J36" i="4"/>
  <c r="J35" i="4"/>
  <c r="J34" i="4"/>
  <c r="AW35" i="4"/>
  <c r="AW36" i="4"/>
  <c r="AW34" i="4"/>
  <c r="AI35" i="4"/>
  <c r="AI36" i="4"/>
  <c r="AI34" i="4"/>
  <c r="O36" i="4"/>
  <c r="O35" i="4"/>
  <c r="O34" i="4"/>
  <c r="AT36" i="4"/>
  <c r="AH36" i="4"/>
  <c r="AH34" i="4"/>
  <c r="AH35" i="4"/>
  <c r="Z36" i="4"/>
  <c r="F35" i="4"/>
  <c r="P38" i="2"/>
  <c r="O38" i="2" s="1"/>
  <c r="AS34" i="4"/>
  <c r="AQ37" i="4" s="1"/>
  <c r="Y36" i="4"/>
  <c r="K36" i="4"/>
  <c r="I40" i="3"/>
  <c r="I39" i="3"/>
  <c r="C38" i="4"/>
  <c r="V38" i="4"/>
  <c r="W37" i="4"/>
  <c r="D36" i="4"/>
  <c r="D34" i="4"/>
  <c r="B37" i="4" s="1"/>
  <c r="D35" i="4"/>
  <c r="AG38" i="4"/>
  <c r="T36" i="4"/>
  <c r="T34" i="4"/>
  <c r="T35" i="4"/>
  <c r="F34" i="4"/>
  <c r="AY34" i="4"/>
  <c r="AS36" i="4"/>
  <c r="Y35" i="4"/>
  <c r="E35" i="4"/>
  <c r="AR36" i="4"/>
  <c r="AR35" i="4"/>
  <c r="AR34" i="4"/>
  <c r="P36" i="4"/>
  <c r="P34" i="4"/>
  <c r="P35" i="4"/>
  <c r="AO35" i="4"/>
  <c r="AO36" i="4"/>
  <c r="AO34" i="4"/>
  <c r="S36" i="4"/>
  <c r="S35" i="4"/>
  <c r="S34" i="4"/>
  <c r="BD34" i="4"/>
  <c r="AZ38" i="4" s="1"/>
  <c r="AX35" i="4"/>
  <c r="AX36" i="4"/>
  <c r="AX34" i="4"/>
  <c r="AJ36" i="4"/>
  <c r="AJ35" i="4"/>
  <c r="AJ34" i="4"/>
  <c r="W39" i="4"/>
  <c r="W42" i="4" s="1"/>
  <c r="W43" i="4" s="1"/>
  <c r="W38" i="4"/>
  <c r="AB38" i="4"/>
  <c r="I36" i="4"/>
  <c r="I35" i="4"/>
  <c r="I34" i="4"/>
  <c r="AN36" i="4"/>
  <c r="AN34" i="4"/>
  <c r="AN35" i="4"/>
  <c r="N36" i="4"/>
  <c r="N34" i="4"/>
  <c r="N35" i="4"/>
  <c r="AE4" i="4"/>
  <c r="AD4" i="4"/>
  <c r="AD36" i="4" s="1"/>
  <c r="AC4" i="4"/>
  <c r="AC36" i="4" s="1"/>
  <c r="W42" i="9" l="1"/>
  <c r="L77" i="9" s="1"/>
  <c r="V42" i="9"/>
  <c r="K77" i="9" s="1"/>
  <c r="M77" i="9" s="1"/>
  <c r="T42" i="9"/>
  <c r="U19" i="9"/>
  <c r="L74" i="9" s="1"/>
  <c r="X42" i="9"/>
  <c r="N42" i="9" s="1"/>
  <c r="V19" i="9"/>
  <c r="W19" i="9"/>
  <c r="L76" i="9" s="1"/>
  <c r="U42" i="9"/>
  <c r="L75" i="9" s="1"/>
  <c r="T19" i="9"/>
  <c r="K79" i="9"/>
  <c r="M79" i="9" s="1"/>
  <c r="X19" i="9"/>
  <c r="M73" i="9"/>
  <c r="K71" i="9"/>
  <c r="M71" i="9" s="1"/>
  <c r="K42" i="9"/>
  <c r="K72" i="9"/>
  <c r="M72" i="9" s="1"/>
  <c r="K19" i="9"/>
  <c r="K44" i="9" s="1"/>
  <c r="L70" i="9"/>
  <c r="M70" i="9" s="1"/>
  <c r="J19" i="9"/>
  <c r="J44" i="9" s="1"/>
  <c r="AD37" i="4"/>
  <c r="AD39" i="4" s="1"/>
  <c r="AD42" i="4" s="1"/>
  <c r="AD43" i="4" s="1"/>
  <c r="AK38" i="4"/>
  <c r="AL37" i="4"/>
  <c r="AR37" i="4"/>
  <c r="AR38" i="4"/>
  <c r="AR39" i="4"/>
  <c r="AR42" i="4" s="1"/>
  <c r="AR43" i="4" s="1"/>
  <c r="Y37" i="4"/>
  <c r="L37" i="4"/>
  <c r="K38" i="4"/>
  <c r="AG37" i="4"/>
  <c r="AG39" i="4" s="1"/>
  <c r="AG42" i="4" s="1"/>
  <c r="AG43" i="4" s="1"/>
  <c r="AF38" i="4"/>
  <c r="P37" i="4"/>
  <c r="O38" i="4"/>
  <c r="P39" i="4"/>
  <c r="P42" i="4" s="1"/>
  <c r="P43" i="4" s="1"/>
  <c r="Q37" i="4"/>
  <c r="P38" i="4"/>
  <c r="AC34" i="4"/>
  <c r="AD38" i="4"/>
  <c r="Q38" i="4"/>
  <c r="R37" i="4"/>
  <c r="AK37" i="4"/>
  <c r="AK39" i="4" s="1"/>
  <c r="AJ38" i="4"/>
  <c r="E38" i="4"/>
  <c r="E39" i="4" s="1"/>
  <c r="E42" i="4" s="1"/>
  <c r="E43" i="4" s="1"/>
  <c r="F37" i="4"/>
  <c r="F39" i="4" s="1"/>
  <c r="F42" i="4" s="1"/>
  <c r="F43" i="4" s="1"/>
  <c r="AT38" i="4"/>
  <c r="AU37" i="4"/>
  <c r="M37" i="4"/>
  <c r="L38" i="4"/>
  <c r="AI39" i="4"/>
  <c r="AI42" i="4" s="1"/>
  <c r="AI43" i="4" s="1"/>
  <c r="AI37" i="4"/>
  <c r="AZ37" i="4"/>
  <c r="AZ39" i="4" s="1"/>
  <c r="AY38" i="4"/>
  <c r="AY39" i="4" s="1"/>
  <c r="AY42" i="4" s="1"/>
  <c r="AY43" i="4" s="1"/>
  <c r="J38" i="4"/>
  <c r="K37" i="4"/>
  <c r="AN37" i="4"/>
  <c r="AX37" i="4"/>
  <c r="AS37" i="4"/>
  <c r="AS39" i="4" s="1"/>
  <c r="AS42" i="4" s="1"/>
  <c r="AS43" i="4" s="1"/>
  <c r="F38" i="4"/>
  <c r="G37" i="4"/>
  <c r="U37" i="4"/>
  <c r="T38" i="4"/>
  <c r="AJ37" i="4"/>
  <c r="AI38" i="4"/>
  <c r="Z38" i="4"/>
  <c r="AA37" i="4"/>
  <c r="V37" i="4"/>
  <c r="V39" i="4" s="1"/>
  <c r="I37" i="4"/>
  <c r="I38" i="4"/>
  <c r="I39" i="4" s="1"/>
  <c r="I42" i="4" s="1"/>
  <c r="I43" i="4" s="1"/>
  <c r="AV38" i="4"/>
  <c r="AO37" i="4"/>
  <c r="AO39" i="4" s="1"/>
  <c r="AO42" i="4" s="1"/>
  <c r="AO43" i="4" s="1"/>
  <c r="AN38" i="4"/>
  <c r="AN39" i="4" s="1"/>
  <c r="AN42" i="4" s="1"/>
  <c r="AN43" i="4" s="1"/>
  <c r="AV37" i="4"/>
  <c r="AV39" i="4" s="1"/>
  <c r="AV42" i="4" s="1"/>
  <c r="AV43" i="4" s="1"/>
  <c r="AU38" i="4"/>
  <c r="T37" i="4"/>
  <c r="T39" i="4"/>
  <c r="T42" i="4" s="1"/>
  <c r="T43" i="4" s="1"/>
  <c r="AC35" i="4"/>
  <c r="D37" i="4"/>
  <c r="D38" i="4"/>
  <c r="D39" i="4"/>
  <c r="D42" i="4" s="1"/>
  <c r="D43" i="4" s="1"/>
  <c r="H38" i="4"/>
  <c r="H39" i="4" s="1"/>
  <c r="H42" i="4" s="1"/>
  <c r="H43" i="4" s="1"/>
  <c r="AL38" i="4"/>
  <c r="AH38" i="4"/>
  <c r="AH37" i="4"/>
  <c r="AH39" i="4" s="1"/>
  <c r="AH42" i="4" s="1"/>
  <c r="AH43" i="4" s="1"/>
  <c r="O37" i="4"/>
  <c r="O39" i="4" s="1"/>
  <c r="O42" i="4" s="1"/>
  <c r="O43" i="4" s="1"/>
  <c r="AS38" i="4"/>
  <c r="AT37" i="4"/>
  <c r="AT39" i="4" s="1"/>
  <c r="AT42" i="4" s="1"/>
  <c r="AT43" i="4" s="1"/>
  <c r="X37" i="4"/>
  <c r="X38" i="4"/>
  <c r="X39" i="4"/>
  <c r="X42" i="4" s="1"/>
  <c r="X43" i="4" s="1"/>
  <c r="AM39" i="4"/>
  <c r="AM42" i="4" s="1"/>
  <c r="AM43" i="4" s="1"/>
  <c r="AM37" i="4"/>
  <c r="AM38" i="4"/>
  <c r="AD35" i="4"/>
  <c r="AX38" i="4"/>
  <c r="AX39" i="4" s="1"/>
  <c r="AX42" i="4" s="1"/>
  <c r="AX43" i="4" s="1"/>
  <c r="N38" i="4"/>
  <c r="N37" i="4"/>
  <c r="N39" i="4" s="1"/>
  <c r="N42" i="4" s="1"/>
  <c r="N43" i="4" s="1"/>
  <c r="AE36" i="4"/>
  <c r="AE34" i="4"/>
  <c r="AC38" i="4" s="1"/>
  <c r="AE35" i="4"/>
  <c r="M38" i="4"/>
  <c r="AJ39" i="4"/>
  <c r="AJ42" i="4" s="1"/>
  <c r="AJ43" i="4" s="1"/>
  <c r="S37" i="4"/>
  <c r="S39" i="4" s="1"/>
  <c r="S42" i="4" s="1"/>
  <c r="S43" i="4" s="1"/>
  <c r="S38" i="4"/>
  <c r="R38" i="4"/>
  <c r="B38" i="4"/>
  <c r="B39" i="4" s="1"/>
  <c r="C37" i="4"/>
  <c r="C39" i="4" s="1"/>
  <c r="C42" i="4" s="1"/>
  <c r="C43" i="4" s="1"/>
  <c r="K39" i="4"/>
  <c r="K42" i="4" s="1"/>
  <c r="K43" i="4" s="1"/>
  <c r="AO38" i="4"/>
  <c r="AP37" i="4"/>
  <c r="AF37" i="4"/>
  <c r="AF39" i="4" s="1"/>
  <c r="AW37" i="4"/>
  <c r="AW38" i="4"/>
  <c r="AW39" i="4"/>
  <c r="AW42" i="4" s="1"/>
  <c r="AW43" i="4" s="1"/>
  <c r="J37" i="4"/>
  <c r="J39" i="4" s="1"/>
  <c r="J42" i="4" s="1"/>
  <c r="J43" i="4" s="1"/>
  <c r="AQ38" i="4"/>
  <c r="AQ39" i="4" s="1"/>
  <c r="AQ42" i="4" s="1"/>
  <c r="AQ43" i="4" s="1"/>
  <c r="U39" i="4"/>
  <c r="U42" i="4" s="1"/>
  <c r="U43" i="4" s="1"/>
  <c r="AP38" i="4"/>
  <c r="G38" i="4"/>
  <c r="M42" i="9" l="1"/>
  <c r="K76" i="9"/>
  <c r="M76" i="9" s="1"/>
  <c r="M19" i="9"/>
  <c r="K74" i="9"/>
  <c r="M74" i="9" s="1"/>
  <c r="L19" i="9"/>
  <c r="L42" i="9"/>
  <c r="K75" i="9"/>
  <c r="M75" i="9" s="1"/>
  <c r="J70" i="9"/>
  <c r="N70" i="9"/>
  <c r="J77" i="9"/>
  <c r="N77" i="9"/>
  <c r="J72" i="9"/>
  <c r="N72" i="9"/>
  <c r="J71" i="9"/>
  <c r="N71" i="9"/>
  <c r="J73" i="9"/>
  <c r="N73" i="9"/>
  <c r="N19" i="9"/>
  <c r="N44" i="9" s="1"/>
  <c r="K78" i="9"/>
  <c r="M78" i="9" s="1"/>
  <c r="J79" i="9"/>
  <c r="N79" i="9"/>
  <c r="B42" i="4"/>
  <c r="B43" i="4" s="1"/>
  <c r="B41" i="4"/>
  <c r="AK41" i="4"/>
  <c r="AK42" i="4"/>
  <c r="AK43" i="4" s="1"/>
  <c r="AL39" i="4"/>
  <c r="AL42" i="4" s="1"/>
  <c r="AL43" i="4" s="1"/>
  <c r="R39" i="4"/>
  <c r="R42" i="4" s="1"/>
  <c r="R43" i="4" s="1"/>
  <c r="Y38" i="4"/>
  <c r="Y39" i="4" s="1"/>
  <c r="Y42" i="4" s="1"/>
  <c r="Y43" i="4" s="1"/>
  <c r="Z37" i="4"/>
  <c r="Z39" i="4" s="1"/>
  <c r="Z42" i="4" s="1"/>
  <c r="Z43" i="4" s="1"/>
  <c r="G39" i="4"/>
  <c r="AZ41" i="4"/>
  <c r="AZ42" i="4"/>
  <c r="AZ43" i="4" s="1"/>
  <c r="M39" i="4"/>
  <c r="M42" i="4" s="1"/>
  <c r="M43" i="4" s="1"/>
  <c r="L39" i="4"/>
  <c r="AF41" i="4"/>
  <c r="AF42" i="4"/>
  <c r="AF43" i="4" s="1"/>
  <c r="AE38" i="4"/>
  <c r="AP39" i="4"/>
  <c r="AB37" i="4"/>
  <c r="AB39" i="4" s="1"/>
  <c r="AB42" i="4" s="1"/>
  <c r="AB43" i="4" s="1"/>
  <c r="AA38" i="4"/>
  <c r="AA39" i="4" s="1"/>
  <c r="V42" i="4"/>
  <c r="V43" i="4" s="1"/>
  <c r="V41" i="4"/>
  <c r="AU39" i="4"/>
  <c r="AE37" i="4"/>
  <c r="AE39" i="4" s="1"/>
  <c r="AE42" i="4" s="1"/>
  <c r="AE43" i="4" s="1"/>
  <c r="Q39" i="4"/>
  <c r="AC37" i="4"/>
  <c r="AC39" i="4" s="1"/>
  <c r="AC42" i="4" s="1"/>
  <c r="AC43" i="4" s="1"/>
  <c r="L44" i="9" l="1"/>
  <c r="M44" i="9"/>
  <c r="N74" i="9"/>
  <c r="J74" i="9"/>
  <c r="N75" i="9"/>
  <c r="J75" i="9"/>
  <c r="N76" i="9"/>
  <c r="J76" i="9"/>
  <c r="J78" i="9"/>
  <c r="N78" i="9"/>
  <c r="AA41" i="4"/>
  <c r="AA42" i="4"/>
  <c r="AA43" i="4" s="1"/>
  <c r="AP42" i="4"/>
  <c r="AP43" i="4" s="1"/>
  <c r="AP41" i="4"/>
  <c r="L41" i="4"/>
  <c r="L42" i="4"/>
  <c r="L43" i="4" s="1"/>
  <c r="G41" i="4"/>
  <c r="G42" i="4"/>
  <c r="G43" i="4" s="1"/>
  <c r="Q41" i="4"/>
  <c r="Q42" i="4"/>
  <c r="Q43" i="4" s="1"/>
  <c r="AU41" i="4"/>
  <c r="AU42" i="4"/>
  <c r="AU43" i="4" s="1"/>
</calcChain>
</file>

<file path=xl/sharedStrings.xml><?xml version="1.0" encoding="utf-8"?>
<sst xmlns="http://schemas.openxmlformats.org/spreadsheetml/2006/main" count="796" uniqueCount="142">
  <si>
    <t>Hasil Pengukuran Antropometri Posisi Duduk</t>
  </si>
  <si>
    <t>Bahtiar</t>
  </si>
  <si>
    <t>Galih</t>
  </si>
  <si>
    <t>Siska</t>
  </si>
  <si>
    <t>Dhian</t>
  </si>
  <si>
    <t>Silmi</t>
  </si>
  <si>
    <t>Alfani</t>
  </si>
  <si>
    <t>Taufik</t>
  </si>
  <si>
    <t>Fauzan</t>
  </si>
  <si>
    <t>edo</t>
  </si>
  <si>
    <t>Nutqy</t>
  </si>
  <si>
    <t>Andri</t>
  </si>
  <si>
    <t>Agus</t>
  </si>
  <si>
    <t>udin</t>
  </si>
  <si>
    <t>Fitri</t>
  </si>
  <si>
    <t>Arip</t>
  </si>
  <si>
    <t>Sany</t>
  </si>
  <si>
    <t>Hadi</t>
  </si>
  <si>
    <t>Desy</t>
  </si>
  <si>
    <t>Niki</t>
  </si>
  <si>
    <t>Prasiska</t>
  </si>
  <si>
    <t>Arini</t>
  </si>
  <si>
    <t>Putri</t>
  </si>
  <si>
    <t>Eilsa</t>
  </si>
  <si>
    <t>Wahyu</t>
  </si>
  <si>
    <t>Retno</t>
  </si>
  <si>
    <t>Juliasari</t>
  </si>
  <si>
    <t>Maharsi</t>
  </si>
  <si>
    <t>Fatma</t>
  </si>
  <si>
    <t>Safarah</t>
  </si>
  <si>
    <t>Friska</t>
  </si>
  <si>
    <t>Soleh</t>
  </si>
  <si>
    <t>Aan</t>
  </si>
  <si>
    <t>A</t>
  </si>
  <si>
    <t>Tinggi Politel</t>
  </si>
  <si>
    <t>B</t>
  </si>
  <si>
    <t>Jarak Pantat - Poplitel</t>
  </si>
  <si>
    <t>C</t>
  </si>
  <si>
    <t>Lebar Bahu</t>
  </si>
  <si>
    <t>D</t>
  </si>
  <si>
    <t>Lebar Panggul</t>
  </si>
  <si>
    <t>E</t>
  </si>
  <si>
    <t>Tinggi Bahu</t>
  </si>
  <si>
    <t>F</t>
  </si>
  <si>
    <t>Tinggi Mata</t>
  </si>
  <si>
    <t>G</t>
  </si>
  <si>
    <t>Tinggi Duduk Tegak</t>
  </si>
  <si>
    <t>H</t>
  </si>
  <si>
    <t>Tinggi Dudukan - Lutut</t>
  </si>
  <si>
    <t>I</t>
  </si>
  <si>
    <t>Jarak Pantat ke Lutut</t>
  </si>
  <si>
    <t>J</t>
  </si>
  <si>
    <t>Tinggi Pantat -  Siku</t>
  </si>
  <si>
    <t>K</t>
  </si>
  <si>
    <t>Kemiringan sandaran</t>
  </si>
  <si>
    <t>No</t>
  </si>
  <si>
    <t>Responden</t>
  </si>
  <si>
    <t>Xi^2</t>
  </si>
  <si>
    <t>Sum</t>
  </si>
  <si>
    <t>Mean</t>
  </si>
  <si>
    <t>Stdev</t>
  </si>
  <si>
    <t>Kecukupan Data (Rumus)</t>
  </si>
  <si>
    <t>k =</t>
  </si>
  <si>
    <t>s =</t>
  </si>
  <si>
    <t>N =</t>
  </si>
  <si>
    <t>Persentil 50</t>
  </si>
  <si>
    <t>Percentile 50</t>
  </si>
  <si>
    <t>Count</t>
  </si>
  <si>
    <t>BKA</t>
  </si>
  <si>
    <t>BKB</t>
  </si>
  <si>
    <t>Xi-mean</t>
  </si>
  <si>
    <t>(Xi-mean)^2</t>
  </si>
  <si>
    <t>(Xi-mean)^3</t>
  </si>
  <si>
    <t>(Xi-mean)^4</t>
  </si>
  <si>
    <t>Average</t>
  </si>
  <si>
    <t>Skewness</t>
  </si>
  <si>
    <t>Kurtosis</t>
  </si>
  <si>
    <t>JB Value</t>
  </si>
  <si>
    <t xml:space="preserve">Chi Square </t>
  </si>
  <si>
    <t>Result</t>
  </si>
  <si>
    <t>Chi Square #2</t>
  </si>
  <si>
    <t>Result #2</t>
  </si>
  <si>
    <t>Dimensi Akhir Kursi</t>
  </si>
  <si>
    <t>L</t>
  </si>
  <si>
    <t>P</t>
  </si>
  <si>
    <t>Usia</t>
  </si>
  <si>
    <t>Tahun Lahir</t>
  </si>
  <si>
    <t>Gender</t>
  </si>
  <si>
    <t>Nama</t>
  </si>
  <si>
    <t>Jumlah L</t>
  </si>
  <si>
    <t>Jumlah P</t>
  </si>
  <si>
    <t>Total Responden</t>
  </si>
  <si>
    <t>Rata-rata Usia</t>
  </si>
  <si>
    <t>Usia Min</t>
  </si>
  <si>
    <t>Usia Max</t>
  </si>
  <si>
    <t>INDEX</t>
  </si>
  <si>
    <t>Parameter</t>
  </si>
  <si>
    <t>Nilai Maksimum</t>
  </si>
  <si>
    <t>Nilai Minimum</t>
  </si>
  <si>
    <t>Nilai Rata-Rata</t>
  </si>
  <si>
    <t>Standar Deviasi</t>
  </si>
  <si>
    <t>Percentil 5%</t>
  </si>
  <si>
    <t>Percentil 50%</t>
  </si>
  <si>
    <t>Dimensi Kursi Saat Ini</t>
  </si>
  <si>
    <t>Seat Height (SH)</t>
  </si>
  <si>
    <t>Seat Depth (SD)</t>
  </si>
  <si>
    <t>Seat Width (SW)</t>
  </si>
  <si>
    <t>Backrest Height (BH)</t>
  </si>
  <si>
    <t>Backrest Width (BW)</t>
  </si>
  <si>
    <t>A vs BH</t>
  </si>
  <si>
    <t>C vs SH</t>
  </si>
  <si>
    <t>B vs SD</t>
  </si>
  <si>
    <t>D vs SW</t>
  </si>
  <si>
    <t>Jarak Pantat - Popliteal</t>
  </si>
  <si>
    <t>Tinggi Popliteal</t>
  </si>
  <si>
    <t>Sex</t>
  </si>
  <si>
    <t>Total L</t>
  </si>
  <si>
    <t>Total P</t>
  </si>
  <si>
    <t>Total All</t>
  </si>
  <si>
    <t>Percentil 95%</t>
  </si>
  <si>
    <t xml:space="preserve">L </t>
  </si>
  <si>
    <t>Tinggi Bahu (mm)</t>
  </si>
  <si>
    <t>Jarak Pantat - Popliteal (mm)</t>
  </si>
  <si>
    <t>Tinggi Popliteal (mm)</t>
  </si>
  <si>
    <t>Lebar Panggul (mm)</t>
  </si>
  <si>
    <t>Dimensi dan Antropometri</t>
  </si>
  <si>
    <t>Tinggi Popliteal vs Tinggi Kursi</t>
  </si>
  <si>
    <t>Jarak Pantat-Popliteal vs Panjang Dudukan Kursi</t>
  </si>
  <si>
    <t>Lebar Panggul vs Lebar Dudukan Kursi</t>
  </si>
  <si>
    <t>Lebar Panggul vs Lebar Sandaran</t>
  </si>
  <si>
    <t>Tinggi Bahu vs Tinggi Sandaran</t>
  </si>
  <si>
    <t>Tingkat Kecocokan</t>
  </si>
  <si>
    <t>Tingkat Ketidakcocokan (batas bawah)</t>
  </si>
  <si>
    <t>Tingkat Ketidakcocokan (batas atas)</t>
  </si>
  <si>
    <t>Akumulasi Ketidakcocokan</t>
  </si>
  <si>
    <t>Jenis Kelamin</t>
  </si>
  <si>
    <t>E vs BW</t>
  </si>
  <si>
    <t>Lebar Bahu (mm)</t>
  </si>
  <si>
    <t>Lower</t>
  </si>
  <si>
    <t>Upper</t>
  </si>
  <si>
    <t>Before</t>
  </si>
  <si>
    <t xml:space="preserve">Selisih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</si>
</sst>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0"/>
      <color rgb="FF000000"/>
      <name val="Arial"/>
      <scheme val="minor"/>
    </font>
    <font>
      <sz val="17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1" xfId="0" applyFont="1" applyBorder="1"/>
    <xf numFmtId="0" fontId="4" fillId="0" borderId="1" xfId="0" applyFont="1" applyBorder="1"/>
    <xf numFmtId="2" fontId="4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2" fontId="8" fillId="0" borderId="0" xfId="0" applyNumberFormat="1" applyFont="1"/>
    <xf numFmtId="0" fontId="11" fillId="0" borderId="0" xfId="0" applyFont="1"/>
    <xf numFmtId="0" fontId="12" fillId="2" borderId="2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164" fontId="2" fillId="0" borderId="0" xfId="0" applyNumberFormat="1" applyFont="1"/>
    <xf numFmtId="165" fontId="11" fillId="0" borderId="0" xfId="0" applyNumberFormat="1" applyFont="1"/>
    <xf numFmtId="1" fontId="11" fillId="0" borderId="0" xfId="0" applyNumberFormat="1" applyFont="1"/>
    <xf numFmtId="164" fontId="11" fillId="0" borderId="0" xfId="0" applyNumberFormat="1" applyFont="1"/>
    <xf numFmtId="165" fontId="13" fillId="0" borderId="0" xfId="0" applyNumberFormat="1" applyFont="1"/>
    <xf numFmtId="0" fontId="14" fillId="0" borderId="0" xfId="0" applyFont="1"/>
    <xf numFmtId="0" fontId="1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7" fillId="0" borderId="2" xfId="0" applyFont="1" applyBorder="1"/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9" fillId="0" borderId="2" xfId="0" applyFont="1" applyBorder="1"/>
    <xf numFmtId="0" fontId="18" fillId="0" borderId="2" xfId="0" applyFont="1" applyBorder="1"/>
    <xf numFmtId="164" fontId="17" fillId="0" borderId="2" xfId="0" applyNumberFormat="1" applyFont="1" applyBorder="1" applyAlignment="1">
      <alignment wrapText="1"/>
    </xf>
    <xf numFmtId="0" fontId="20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9" fontId="17" fillId="0" borderId="2" xfId="0" applyNumberFormat="1" applyFont="1" applyBorder="1"/>
    <xf numFmtId="9" fontId="16" fillId="0" borderId="2" xfId="0" applyNumberFormat="1" applyFont="1" applyBorder="1"/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left" vertical="top" wrapText="1"/>
    </xf>
    <xf numFmtId="9" fontId="0" fillId="0" borderId="0" xfId="0" applyNumberFormat="1" applyAlignment="1">
      <alignment horizontal="left" vertical="top"/>
    </xf>
    <xf numFmtId="10" fontId="0" fillId="0" borderId="0" xfId="0" applyNumberForma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0" fillId="0" borderId="0" xfId="0" applyFont="1"/>
    <xf numFmtId="0" fontId="20" fillId="0" borderId="2" xfId="0" applyFont="1" applyBorder="1"/>
    <xf numFmtId="164" fontId="17" fillId="0" borderId="2" xfId="0" applyNumberFormat="1" applyFont="1" applyBorder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1" fontId="20" fillId="0" borderId="0" xfId="0" applyNumberFormat="1" applyFont="1"/>
    <xf numFmtId="9" fontId="20" fillId="0" borderId="2" xfId="0" applyNumberFormat="1" applyFont="1" applyBorder="1"/>
    <xf numFmtId="164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Presentase</a:t>
            </a:r>
            <a:r>
              <a:rPr lang="en-US" baseline="0"/>
              <a:t> </a:t>
            </a:r>
            <a:r>
              <a:rPr lang="en-US"/>
              <a:t>Ketidakcocokan Kursi dengan Pegawai</a:t>
            </a:r>
          </a:p>
          <a:p>
            <a:pPr>
              <a:defRPr/>
            </a:pP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Laki-Laki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'Usulan Perbaikan'!$H$3:$H$7</c:f>
              <c:strCache>
                <c:ptCount val="5"/>
                <c:pt idx="0">
                  <c:v>Seat Height (SH)</c:v>
                </c:pt>
                <c:pt idx="1">
                  <c:v>Seat Depth (SD)</c:v>
                </c:pt>
                <c:pt idx="2">
                  <c:v>Seat Width (SW)</c:v>
                </c:pt>
                <c:pt idx="3">
                  <c:v>Backrest Height (BH)</c:v>
                </c:pt>
                <c:pt idx="4">
                  <c:v>Backrest Width (BW)</c:v>
                </c:pt>
              </c:strCache>
            </c:strRef>
          </c:cat>
          <c:val>
            <c:numRef>
              <c:f>'Usulan Perbaikan'!$J$19:$N$19</c:f>
              <c:numCache>
                <c:formatCode>0%</c:formatCode>
                <c:ptCount val="5"/>
                <c:pt idx="0">
                  <c:v>0.8125</c:v>
                </c:pt>
                <c:pt idx="1">
                  <c:v>0.8125</c:v>
                </c:pt>
                <c:pt idx="2">
                  <c:v>0.125</c:v>
                </c:pt>
                <c:pt idx="3">
                  <c:v>0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C-4BFC-885C-C0321756382B}"/>
            </c:ext>
          </c:extLst>
        </c:ser>
        <c:ser>
          <c:idx val="1"/>
          <c:order val="1"/>
          <c:tx>
            <c:v>Perempuan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'Usulan Perbaikan'!$H$3:$H$7</c:f>
              <c:strCache>
                <c:ptCount val="5"/>
                <c:pt idx="0">
                  <c:v>Seat Height (SH)</c:v>
                </c:pt>
                <c:pt idx="1">
                  <c:v>Seat Depth (SD)</c:v>
                </c:pt>
                <c:pt idx="2">
                  <c:v>Seat Width (SW)</c:v>
                </c:pt>
                <c:pt idx="3">
                  <c:v>Backrest Height (BH)</c:v>
                </c:pt>
                <c:pt idx="4">
                  <c:v>Backrest Width (BW)</c:v>
                </c:pt>
              </c:strCache>
            </c:strRef>
          </c:cat>
          <c:val>
            <c:numRef>
              <c:f>'Usulan Perbaikan'!$J$42:$N$42</c:f>
              <c:numCache>
                <c:formatCode>0%</c:formatCode>
                <c:ptCount val="5"/>
                <c:pt idx="0">
                  <c:v>0.9375</c:v>
                </c:pt>
                <c:pt idx="1">
                  <c:v>0.75</c:v>
                </c:pt>
                <c:pt idx="2">
                  <c:v>0.4375</c:v>
                </c:pt>
                <c:pt idx="3">
                  <c:v>0.3125</c:v>
                </c:pt>
                <c:pt idx="4">
                  <c:v>0.3125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C-4BFC-885C-C03217563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5570656"/>
        <c:axId val="965569216"/>
      </c:barChart>
      <c:catAx>
        <c:axId val="96557065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Parameter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69216"/>
        <c:crosses val="autoZero"/>
        <c:auto val="1"/>
        <c:lblAlgn val="ctr"/>
        <c:lblOffset val="100"/>
        <c:noMultiLvlLbl val="0"/>
      </c:catAx>
      <c:valAx>
        <c:axId val="9655692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Presentase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7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Presentase</a:t>
            </a:r>
            <a:r>
              <a:rPr lang="en-US" baseline="0"/>
              <a:t> </a:t>
            </a:r>
            <a:r>
              <a:rPr lang="en-US"/>
              <a:t>Ketidakcocokan Kursi dengan Pegawai</a:t>
            </a:r>
          </a:p>
          <a:p>
            <a:pPr>
              <a:defRPr/>
            </a:pP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Laki-Laki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Mismatch!$H$3:$H$7</c:f>
              <c:strCache>
                <c:ptCount val="5"/>
                <c:pt idx="0">
                  <c:v>Seat Height (SH)</c:v>
                </c:pt>
                <c:pt idx="1">
                  <c:v>Seat Depth (SD)</c:v>
                </c:pt>
                <c:pt idx="2">
                  <c:v>Seat Width (SW)</c:v>
                </c:pt>
                <c:pt idx="3">
                  <c:v>Backrest Height (BH)</c:v>
                </c:pt>
                <c:pt idx="4">
                  <c:v>Backrest Width (BW)</c:v>
                </c:pt>
              </c:strCache>
            </c:strRef>
          </c:cat>
          <c:val>
            <c:numRef>
              <c:f>Mismatch!$J$19:$N$19</c:f>
              <c:numCache>
                <c:formatCode>0%</c:formatCode>
                <c:ptCount val="5"/>
                <c:pt idx="0">
                  <c:v>1</c:v>
                </c:pt>
                <c:pt idx="1">
                  <c:v>0.9375</c:v>
                </c:pt>
                <c:pt idx="2">
                  <c:v>0.125</c:v>
                </c:pt>
                <c:pt idx="3">
                  <c:v>0</c:v>
                </c:pt>
                <c:pt idx="4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4-40E6-9614-EF3187BAD70B}"/>
            </c:ext>
          </c:extLst>
        </c:ser>
        <c:ser>
          <c:idx val="1"/>
          <c:order val="1"/>
          <c:tx>
            <c:v>Perempuan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Mismatch!$H$3:$H$7</c:f>
              <c:strCache>
                <c:ptCount val="5"/>
                <c:pt idx="0">
                  <c:v>Seat Height (SH)</c:v>
                </c:pt>
                <c:pt idx="1">
                  <c:v>Seat Depth (SD)</c:v>
                </c:pt>
                <c:pt idx="2">
                  <c:v>Seat Width (SW)</c:v>
                </c:pt>
                <c:pt idx="3">
                  <c:v>Backrest Height (BH)</c:v>
                </c:pt>
                <c:pt idx="4">
                  <c:v>Backrest Width (BW)</c:v>
                </c:pt>
              </c:strCache>
            </c:strRef>
          </c:cat>
          <c:val>
            <c:numRef>
              <c:f>Mismatch!$J$42:$N$42</c:f>
              <c:numCache>
                <c:formatCode>0%</c:formatCode>
                <c:ptCount val="5"/>
                <c:pt idx="0">
                  <c:v>1</c:v>
                </c:pt>
                <c:pt idx="1">
                  <c:v>0.875</c:v>
                </c:pt>
                <c:pt idx="2">
                  <c:v>0.4375</c:v>
                </c:pt>
                <c:pt idx="3">
                  <c:v>0.3125</c:v>
                </c:pt>
                <c:pt idx="4">
                  <c:v>0.6875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C4-40E6-9614-EF3187B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5570656"/>
        <c:axId val="965569216"/>
      </c:barChart>
      <c:catAx>
        <c:axId val="96557065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Parameter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69216"/>
        <c:crosses val="autoZero"/>
        <c:auto val="1"/>
        <c:lblAlgn val="ctr"/>
        <c:lblOffset val="100"/>
        <c:noMultiLvlLbl val="0"/>
      </c:catAx>
      <c:valAx>
        <c:axId val="9655692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Presentase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57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142875</xdr:rowOff>
    </xdr:from>
    <xdr:ext cx="3381375" cy="36290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428625</xdr:colOff>
      <xdr:row>19</xdr:row>
      <xdr:rowOff>123825</xdr:rowOff>
    </xdr:from>
    <xdr:to>
      <xdr:col>3</xdr:col>
      <xdr:colOff>571500</xdr:colOff>
      <xdr:row>32</xdr:row>
      <xdr:rowOff>43180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EEB913-979E-7EF0-D359-7FEE698DB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598" t="34312" r="52154" b="24790"/>
        <a:stretch/>
      </xdr:blipFill>
      <xdr:spPr bwMode="auto">
        <a:xfrm>
          <a:off x="428625" y="3924300"/>
          <a:ext cx="2657475" cy="2519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594653</xdr:colOff>
      <xdr:row>15</xdr:row>
      <xdr:rowOff>23770</xdr:rowOff>
    </xdr:from>
    <xdr:to>
      <xdr:col>31</xdr:col>
      <xdr:colOff>281894</xdr:colOff>
      <xdr:row>45</xdr:row>
      <xdr:rowOff>73637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F9BB35-1586-4E72-856E-A4B4F2E61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159224</xdr:colOff>
      <xdr:row>1</xdr:row>
      <xdr:rowOff>50985</xdr:rowOff>
    </xdr:from>
    <xdr:to>
      <xdr:col>34</xdr:col>
      <xdr:colOff>64179</xdr:colOff>
      <xdr:row>28</xdr:row>
      <xdr:rowOff>100851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74C176-91EC-068A-8880-9D2FA9B13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L1000"/>
  <sheetViews>
    <sheetView workbookViewId="0">
      <pane xSplit="6" topLeftCell="AF1" activePane="topRight" state="frozen"/>
      <selection pane="topRight" activeCell="G3" sqref="G3:AL6"/>
    </sheetView>
  </sheetViews>
  <sheetFormatPr defaultColWidth="12.5703125" defaultRowHeight="15" customHeight="1" x14ac:dyDescent="0.2"/>
  <cols>
    <col min="1" max="4" width="12.5703125" customWidth="1"/>
    <col min="5" max="5" width="5" customWidth="1"/>
    <col min="6" max="6" width="20.140625" customWidth="1"/>
  </cols>
  <sheetData>
    <row r="1" spans="1:38" ht="15.75" customHeight="1" x14ac:dyDescent="0.3">
      <c r="A1" s="1" t="s">
        <v>0</v>
      </c>
    </row>
    <row r="2" spans="1:38" ht="15.75" customHeight="1" x14ac:dyDescent="0.2"/>
    <row r="3" spans="1:38" ht="15.75" customHeight="1" x14ac:dyDescent="0.2"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  <c r="P3" s="2" t="s">
        <v>10</v>
      </c>
      <c r="Q3" s="2" t="s">
        <v>11</v>
      </c>
      <c r="R3" s="2" t="s">
        <v>12</v>
      </c>
      <c r="S3" s="2" t="s">
        <v>13</v>
      </c>
      <c r="T3" s="2" t="s">
        <v>14</v>
      </c>
      <c r="U3" s="2" t="s">
        <v>15</v>
      </c>
      <c r="V3" s="2" t="s">
        <v>16</v>
      </c>
      <c r="W3" s="2" t="s">
        <v>17</v>
      </c>
      <c r="X3" s="2" t="s">
        <v>18</v>
      </c>
      <c r="Y3" s="2" t="s">
        <v>19</v>
      </c>
      <c r="Z3" s="2" t="s">
        <v>20</v>
      </c>
      <c r="AA3" s="2" t="s">
        <v>21</v>
      </c>
      <c r="AB3" s="2" t="s">
        <v>22</v>
      </c>
      <c r="AC3" s="2" t="s">
        <v>23</v>
      </c>
      <c r="AD3" s="2" t="s">
        <v>24</v>
      </c>
      <c r="AE3" s="2" t="s">
        <v>25</v>
      </c>
      <c r="AF3" s="2" t="s">
        <v>26</v>
      </c>
      <c r="AG3" s="2" t="s">
        <v>27</v>
      </c>
      <c r="AH3" s="2" t="s">
        <v>28</v>
      </c>
      <c r="AI3" s="2" t="s">
        <v>29</v>
      </c>
      <c r="AJ3" s="2" t="s">
        <v>30</v>
      </c>
      <c r="AK3" s="2" t="s">
        <v>31</v>
      </c>
      <c r="AL3" s="2" t="s">
        <v>32</v>
      </c>
    </row>
    <row r="4" spans="1:38" ht="15.75" customHeight="1" x14ac:dyDescent="0.2">
      <c r="E4" s="2" t="s">
        <v>33</v>
      </c>
      <c r="F4" s="2" t="s">
        <v>34</v>
      </c>
      <c r="G4" s="2">
        <v>46</v>
      </c>
      <c r="H4" s="2">
        <v>45</v>
      </c>
      <c r="I4" s="2">
        <v>43</v>
      </c>
      <c r="J4" s="2">
        <v>44</v>
      </c>
      <c r="K4" s="2">
        <v>42.5</v>
      </c>
      <c r="L4" s="2">
        <v>49</v>
      </c>
      <c r="M4" s="2">
        <v>45.5</v>
      </c>
      <c r="N4" s="2">
        <v>45</v>
      </c>
      <c r="O4" s="2">
        <v>49</v>
      </c>
      <c r="P4" s="2">
        <v>46</v>
      </c>
      <c r="Q4" s="2">
        <v>44</v>
      </c>
      <c r="R4" s="2">
        <v>46</v>
      </c>
      <c r="S4" s="2">
        <v>43</v>
      </c>
      <c r="T4" s="2">
        <v>45</v>
      </c>
      <c r="U4" s="2">
        <v>46</v>
      </c>
      <c r="V4" s="2">
        <v>46</v>
      </c>
      <c r="W4" s="2">
        <v>46</v>
      </c>
      <c r="X4" s="2">
        <v>49.5</v>
      </c>
      <c r="Y4" s="2">
        <v>43.5</v>
      </c>
      <c r="Z4" s="2">
        <v>43.5</v>
      </c>
      <c r="AA4" s="2">
        <v>42</v>
      </c>
      <c r="AB4" s="2">
        <v>42</v>
      </c>
      <c r="AC4" s="2">
        <v>40.5</v>
      </c>
      <c r="AD4" s="2">
        <v>46</v>
      </c>
      <c r="AE4" s="2">
        <v>40.5</v>
      </c>
      <c r="AF4" s="2">
        <v>43</v>
      </c>
      <c r="AG4" s="2">
        <v>47</v>
      </c>
      <c r="AH4" s="2">
        <v>43</v>
      </c>
      <c r="AI4" s="2">
        <v>43</v>
      </c>
      <c r="AJ4" s="2">
        <v>42</v>
      </c>
      <c r="AK4" s="3">
        <v>49</v>
      </c>
      <c r="AL4" s="3">
        <v>46</v>
      </c>
    </row>
    <row r="5" spans="1:38" ht="15.75" customHeight="1" x14ac:dyDescent="0.2">
      <c r="E5" s="2" t="s">
        <v>35</v>
      </c>
      <c r="F5" s="2" t="s">
        <v>36</v>
      </c>
      <c r="G5" s="2">
        <v>46</v>
      </c>
      <c r="H5" s="2">
        <v>46</v>
      </c>
      <c r="I5" s="2">
        <v>41.5</v>
      </c>
      <c r="J5" s="2">
        <v>46.5</v>
      </c>
      <c r="K5" s="2">
        <v>48</v>
      </c>
      <c r="L5" s="2">
        <v>50</v>
      </c>
      <c r="M5" s="2">
        <v>47</v>
      </c>
      <c r="N5" s="2">
        <v>42</v>
      </c>
      <c r="O5" s="2">
        <v>44</v>
      </c>
      <c r="P5" s="2">
        <v>49</v>
      </c>
      <c r="Q5" s="2">
        <v>44</v>
      </c>
      <c r="R5" s="2">
        <v>45</v>
      </c>
      <c r="S5" s="2">
        <v>42</v>
      </c>
      <c r="T5" s="2">
        <v>49</v>
      </c>
      <c r="U5" s="2">
        <v>47</v>
      </c>
      <c r="V5" s="2">
        <v>49</v>
      </c>
      <c r="W5" s="2">
        <v>45.5</v>
      </c>
      <c r="X5" s="2">
        <v>50.5</v>
      </c>
      <c r="Y5" s="2">
        <v>41</v>
      </c>
      <c r="Z5" s="2">
        <v>41.5</v>
      </c>
      <c r="AA5" s="2">
        <v>45</v>
      </c>
      <c r="AB5" s="2">
        <v>40.5</v>
      </c>
      <c r="AC5" s="2">
        <v>36.5</v>
      </c>
      <c r="AD5" s="2">
        <v>47</v>
      </c>
      <c r="AE5" s="2">
        <v>44.5</v>
      </c>
      <c r="AF5" s="2">
        <v>48</v>
      </c>
      <c r="AG5" s="2">
        <v>51</v>
      </c>
      <c r="AH5" s="2">
        <v>47</v>
      </c>
      <c r="AI5" s="2">
        <v>47</v>
      </c>
      <c r="AJ5" s="2">
        <v>47.5</v>
      </c>
      <c r="AK5" s="3">
        <v>51</v>
      </c>
      <c r="AL5" s="3">
        <v>48</v>
      </c>
    </row>
    <row r="6" spans="1:38" ht="15.75" customHeight="1" x14ac:dyDescent="0.2">
      <c r="E6" s="2" t="s">
        <v>37</v>
      </c>
      <c r="F6" s="2" t="s">
        <v>38</v>
      </c>
      <c r="G6" s="2">
        <v>57</v>
      </c>
      <c r="H6" s="2">
        <v>56</v>
      </c>
      <c r="I6" s="2">
        <v>48</v>
      </c>
      <c r="J6" s="2">
        <v>47</v>
      </c>
      <c r="K6" s="2">
        <v>54</v>
      </c>
      <c r="L6" s="2">
        <v>64</v>
      </c>
      <c r="M6" s="2">
        <v>52.5</v>
      </c>
      <c r="N6" s="2">
        <v>53</v>
      </c>
      <c r="O6" s="2">
        <v>55</v>
      </c>
      <c r="P6" s="2">
        <v>43</v>
      </c>
      <c r="Q6" s="2">
        <v>52</v>
      </c>
      <c r="R6" s="2">
        <v>44</v>
      </c>
      <c r="S6" s="2">
        <v>52</v>
      </c>
      <c r="T6" s="2">
        <v>50</v>
      </c>
      <c r="U6" s="2">
        <v>64</v>
      </c>
      <c r="V6" s="2">
        <v>60</v>
      </c>
      <c r="W6" s="2">
        <v>58</v>
      </c>
      <c r="X6" s="2">
        <v>45.5</v>
      </c>
      <c r="Y6" s="2">
        <v>43</v>
      </c>
      <c r="Z6" s="2">
        <v>40</v>
      </c>
      <c r="AA6" s="2">
        <v>40.5</v>
      </c>
      <c r="AB6" s="2">
        <v>37</v>
      </c>
      <c r="AC6" s="2">
        <v>43.5</v>
      </c>
      <c r="AD6" s="2">
        <v>39</v>
      </c>
      <c r="AE6" s="2">
        <v>40.5</v>
      </c>
      <c r="AF6" s="2">
        <v>57.5</v>
      </c>
      <c r="AG6" s="2">
        <v>53</v>
      </c>
      <c r="AH6" s="2">
        <v>53</v>
      </c>
      <c r="AI6" s="2">
        <v>52</v>
      </c>
      <c r="AJ6" s="2">
        <v>51</v>
      </c>
      <c r="AK6" s="3">
        <v>58</v>
      </c>
      <c r="AL6" s="3">
        <v>49.5</v>
      </c>
    </row>
    <row r="7" spans="1:38" ht="15.75" customHeight="1" x14ac:dyDescent="0.2">
      <c r="E7" s="2" t="s">
        <v>39</v>
      </c>
      <c r="F7" s="2" t="s">
        <v>40</v>
      </c>
      <c r="G7" s="2">
        <v>42</v>
      </c>
      <c r="H7" s="2">
        <v>40</v>
      </c>
      <c r="I7" s="2">
        <v>39</v>
      </c>
      <c r="J7" s="2">
        <v>42</v>
      </c>
      <c r="K7" s="2">
        <v>43</v>
      </c>
      <c r="L7" s="2">
        <v>42</v>
      </c>
      <c r="M7" s="2">
        <v>46</v>
      </c>
      <c r="N7" s="2">
        <v>41</v>
      </c>
      <c r="O7" s="2">
        <v>43</v>
      </c>
      <c r="P7" s="2">
        <v>49</v>
      </c>
      <c r="Q7" s="2">
        <v>43</v>
      </c>
      <c r="R7" s="2">
        <v>41</v>
      </c>
      <c r="S7" s="2">
        <v>41</v>
      </c>
      <c r="T7" s="2">
        <v>41</v>
      </c>
      <c r="U7" s="2">
        <v>46</v>
      </c>
      <c r="V7" s="2">
        <v>38</v>
      </c>
      <c r="W7" s="2">
        <v>46</v>
      </c>
      <c r="X7" s="2">
        <v>41</v>
      </c>
      <c r="Y7" s="2">
        <v>44</v>
      </c>
      <c r="Z7" s="2">
        <v>40</v>
      </c>
      <c r="AA7" s="2">
        <v>44</v>
      </c>
      <c r="AB7" s="2">
        <v>39</v>
      </c>
      <c r="AC7" s="2">
        <v>44</v>
      </c>
      <c r="AD7" s="2">
        <v>46</v>
      </c>
      <c r="AE7" s="2">
        <v>39.5</v>
      </c>
      <c r="AF7" s="2">
        <v>46</v>
      </c>
      <c r="AG7" s="2">
        <v>42</v>
      </c>
      <c r="AH7" s="2">
        <v>38</v>
      </c>
      <c r="AI7" s="2">
        <v>34</v>
      </c>
      <c r="AJ7" s="2">
        <v>37.5</v>
      </c>
      <c r="AK7" s="3">
        <v>48</v>
      </c>
      <c r="AL7" s="3">
        <v>42</v>
      </c>
    </row>
    <row r="8" spans="1:38" ht="15.75" customHeight="1" x14ac:dyDescent="0.2">
      <c r="E8" s="2" t="s">
        <v>41</v>
      </c>
      <c r="F8" s="2" t="s">
        <v>42</v>
      </c>
      <c r="G8" s="2">
        <v>64</v>
      </c>
      <c r="H8" s="2">
        <v>67</v>
      </c>
      <c r="I8" s="2">
        <v>55</v>
      </c>
      <c r="J8" s="2">
        <v>54.5</v>
      </c>
      <c r="K8" s="2">
        <v>57</v>
      </c>
      <c r="L8" s="2">
        <v>68</v>
      </c>
      <c r="M8" s="2">
        <v>64</v>
      </c>
      <c r="N8" s="2">
        <v>63</v>
      </c>
      <c r="O8" s="2">
        <v>62</v>
      </c>
      <c r="P8" s="2">
        <v>63</v>
      </c>
      <c r="Q8" s="2">
        <v>61</v>
      </c>
      <c r="R8" s="2">
        <v>57</v>
      </c>
      <c r="S8" s="2">
        <v>58</v>
      </c>
      <c r="T8" s="2">
        <v>61.5</v>
      </c>
      <c r="U8" s="2">
        <v>59</v>
      </c>
      <c r="V8" s="2">
        <v>58</v>
      </c>
      <c r="W8" s="2">
        <v>54.5</v>
      </c>
      <c r="X8" s="2">
        <v>65</v>
      </c>
      <c r="Y8" s="2">
        <v>57.5</v>
      </c>
      <c r="Z8" s="2">
        <v>56</v>
      </c>
      <c r="AA8" s="2">
        <v>53</v>
      </c>
      <c r="AB8" s="2">
        <v>50.5</v>
      </c>
      <c r="AC8" s="2">
        <v>53.5</v>
      </c>
      <c r="AD8" s="2">
        <v>56</v>
      </c>
      <c r="AE8" s="2">
        <v>55</v>
      </c>
      <c r="AF8" s="2">
        <v>60</v>
      </c>
      <c r="AG8" s="2">
        <v>56.5</v>
      </c>
      <c r="AH8" s="2">
        <v>54.5</v>
      </c>
      <c r="AI8" s="2">
        <v>54</v>
      </c>
      <c r="AJ8" s="2">
        <v>50.5</v>
      </c>
      <c r="AK8" s="3">
        <v>68</v>
      </c>
      <c r="AL8" s="3">
        <v>61</v>
      </c>
    </row>
    <row r="9" spans="1:38" ht="15.75" customHeight="1" x14ac:dyDescent="0.2">
      <c r="E9" s="2" t="s">
        <v>43</v>
      </c>
      <c r="F9" s="2" t="s">
        <v>44</v>
      </c>
      <c r="G9" s="2">
        <v>123.5</v>
      </c>
      <c r="H9" s="2">
        <v>125</v>
      </c>
      <c r="I9" s="2">
        <f>43+71</f>
        <v>114</v>
      </c>
      <c r="J9" s="2">
        <f>43+69</f>
        <v>112</v>
      </c>
      <c r="K9" s="2">
        <f>43+72</f>
        <v>115</v>
      </c>
      <c r="L9" s="2">
        <f>46+79</f>
        <v>125</v>
      </c>
      <c r="M9" s="2">
        <f>76.5+46</f>
        <v>122.5</v>
      </c>
      <c r="N9" s="2">
        <f>77+46</f>
        <v>123</v>
      </c>
      <c r="O9" s="2">
        <f>75+46</f>
        <v>121</v>
      </c>
      <c r="P9" s="2">
        <f>46+77</f>
        <v>123</v>
      </c>
      <c r="Q9" s="2">
        <f>46+74</f>
        <v>120</v>
      </c>
      <c r="R9" s="2">
        <f>74.5+46</f>
        <v>120.5</v>
      </c>
      <c r="S9" s="2">
        <f>46+73.5</f>
        <v>119.5</v>
      </c>
      <c r="T9" s="2">
        <v>123</v>
      </c>
      <c r="U9" s="2">
        <v>121</v>
      </c>
      <c r="V9" s="2">
        <v>118</v>
      </c>
      <c r="W9" s="2">
        <f>69+46</f>
        <v>115</v>
      </c>
      <c r="X9" s="2">
        <v>126.5</v>
      </c>
      <c r="Y9" s="2">
        <f>78+43.5</f>
        <v>121.5</v>
      </c>
      <c r="Z9" s="2">
        <v>112.5</v>
      </c>
      <c r="AA9" s="2">
        <f>69+42</f>
        <v>111</v>
      </c>
      <c r="AB9" s="2">
        <v>109</v>
      </c>
      <c r="AC9" s="2">
        <v>108</v>
      </c>
      <c r="AD9" s="2">
        <v>102</v>
      </c>
      <c r="AE9" s="2">
        <v>109</v>
      </c>
      <c r="AF9" s="2">
        <v>118</v>
      </c>
      <c r="AG9" s="2">
        <v>116</v>
      </c>
      <c r="AH9" s="2">
        <v>111</v>
      </c>
      <c r="AI9" s="2">
        <v>112</v>
      </c>
      <c r="AJ9" s="2">
        <v>108</v>
      </c>
      <c r="AK9" s="3">
        <v>129</v>
      </c>
      <c r="AL9" s="3">
        <v>121</v>
      </c>
    </row>
    <row r="10" spans="1:38" ht="15.75" customHeight="1" x14ac:dyDescent="0.2">
      <c r="E10" s="2" t="s">
        <v>45</v>
      </c>
      <c r="F10" s="2" t="s">
        <v>46</v>
      </c>
      <c r="G10" s="2">
        <v>135.5</v>
      </c>
      <c r="H10" s="2">
        <v>135</v>
      </c>
      <c r="I10" s="2">
        <f>43+81</f>
        <v>124</v>
      </c>
      <c r="J10" s="2">
        <f>43+78</f>
        <v>121</v>
      </c>
      <c r="K10" s="2">
        <f>43+83</f>
        <v>126</v>
      </c>
      <c r="L10" s="2">
        <f>46+91.5</f>
        <v>137.5</v>
      </c>
      <c r="M10" s="2">
        <f>89+46</f>
        <v>135</v>
      </c>
      <c r="N10" s="2">
        <f t="shared" ref="N10:O10" si="0">88+46</f>
        <v>134</v>
      </c>
      <c r="O10" s="2">
        <f t="shared" si="0"/>
        <v>134</v>
      </c>
      <c r="P10" s="2">
        <f>46+86</f>
        <v>132</v>
      </c>
      <c r="Q10" s="2">
        <f>87+46</f>
        <v>133</v>
      </c>
      <c r="R10" s="2">
        <f>88+46</f>
        <v>134</v>
      </c>
      <c r="S10" s="2">
        <f>46+85</f>
        <v>131</v>
      </c>
      <c r="T10" s="2">
        <v>132.5</v>
      </c>
      <c r="U10" s="2">
        <v>132</v>
      </c>
      <c r="V10" s="2">
        <v>128.5</v>
      </c>
      <c r="W10" s="2">
        <f>46+82</f>
        <v>128</v>
      </c>
      <c r="X10" s="2">
        <v>136.5</v>
      </c>
      <c r="Y10" s="2">
        <f>88.5+43.5</f>
        <v>132</v>
      </c>
      <c r="Z10" s="2">
        <v>123.5</v>
      </c>
      <c r="AA10" s="2">
        <f>79+42</f>
        <v>121</v>
      </c>
      <c r="AB10" s="2">
        <v>120</v>
      </c>
      <c r="AC10" s="2">
        <v>118</v>
      </c>
      <c r="AD10" s="2">
        <f>84+46</f>
        <v>130</v>
      </c>
      <c r="AE10" s="2">
        <v>119</v>
      </c>
      <c r="AF10" s="2">
        <v>130.5</v>
      </c>
      <c r="AG10" s="2">
        <v>126.5</v>
      </c>
      <c r="AH10" s="2">
        <v>122</v>
      </c>
      <c r="AI10" s="2">
        <v>121</v>
      </c>
      <c r="AJ10" s="2">
        <v>121</v>
      </c>
      <c r="AK10" s="3">
        <f>94+43</f>
        <v>137</v>
      </c>
      <c r="AL10" s="3">
        <v>131.5</v>
      </c>
    </row>
    <row r="11" spans="1:38" ht="15.75" customHeight="1" x14ac:dyDescent="0.2">
      <c r="E11" s="2" t="s">
        <v>47</v>
      </c>
      <c r="F11" s="2" t="s">
        <v>48</v>
      </c>
      <c r="G11" s="2">
        <v>17</v>
      </c>
      <c r="H11" s="2">
        <v>15</v>
      </c>
      <c r="I11" s="2">
        <v>18</v>
      </c>
      <c r="J11" s="2">
        <v>15</v>
      </c>
      <c r="K11" s="2">
        <v>18.5</v>
      </c>
      <c r="L11" s="2">
        <v>15</v>
      </c>
      <c r="M11" s="2">
        <v>19</v>
      </c>
      <c r="N11" s="2">
        <v>18</v>
      </c>
      <c r="O11" s="2">
        <v>18</v>
      </c>
      <c r="P11" s="2">
        <v>18.5</v>
      </c>
      <c r="Q11" s="2">
        <v>16</v>
      </c>
      <c r="R11" s="2">
        <v>14.5</v>
      </c>
      <c r="S11" s="2">
        <v>17.5</v>
      </c>
      <c r="T11" s="2">
        <v>17</v>
      </c>
      <c r="U11" s="2">
        <v>16.5</v>
      </c>
      <c r="V11" s="2">
        <v>16.5</v>
      </c>
      <c r="W11" s="2">
        <v>15</v>
      </c>
      <c r="X11" s="2">
        <v>16</v>
      </c>
      <c r="Y11" s="2">
        <v>15</v>
      </c>
      <c r="Z11" s="2">
        <v>16</v>
      </c>
      <c r="AA11" s="2">
        <v>17</v>
      </c>
      <c r="AB11" s="2">
        <v>14</v>
      </c>
      <c r="AC11" s="2">
        <v>16</v>
      </c>
      <c r="AD11" s="2">
        <v>17</v>
      </c>
      <c r="AE11" s="2">
        <v>15.5</v>
      </c>
      <c r="AF11" s="2">
        <v>15</v>
      </c>
      <c r="AG11" s="2">
        <v>17</v>
      </c>
      <c r="AH11" s="2">
        <v>15.5</v>
      </c>
      <c r="AI11" s="2">
        <v>12.5</v>
      </c>
      <c r="AJ11" s="2">
        <v>12.5</v>
      </c>
      <c r="AK11" s="3">
        <v>19</v>
      </c>
      <c r="AL11" s="3">
        <v>14</v>
      </c>
    </row>
    <row r="12" spans="1:38" ht="15.75" customHeight="1" x14ac:dyDescent="0.2">
      <c r="E12" s="2" t="s">
        <v>49</v>
      </c>
      <c r="F12" s="2" t="s">
        <v>50</v>
      </c>
      <c r="G12" s="2">
        <v>58</v>
      </c>
      <c r="H12" s="2">
        <v>53.5</v>
      </c>
      <c r="I12" s="2">
        <v>51</v>
      </c>
      <c r="J12" s="2">
        <v>54</v>
      </c>
      <c r="K12" s="2">
        <v>56.5</v>
      </c>
      <c r="L12" s="2">
        <v>62</v>
      </c>
      <c r="M12" s="2">
        <v>59</v>
      </c>
      <c r="N12" s="2">
        <v>53</v>
      </c>
      <c r="O12" s="2">
        <v>56</v>
      </c>
      <c r="P12" s="2">
        <v>60</v>
      </c>
      <c r="Q12" s="2">
        <v>55</v>
      </c>
      <c r="R12" s="2">
        <v>56</v>
      </c>
      <c r="S12" s="2">
        <v>53</v>
      </c>
      <c r="T12" s="2">
        <v>58</v>
      </c>
      <c r="U12" s="2">
        <v>60</v>
      </c>
      <c r="V12" s="2">
        <v>57</v>
      </c>
      <c r="W12" s="2">
        <v>56</v>
      </c>
      <c r="X12" s="2">
        <v>60.5</v>
      </c>
      <c r="Y12" s="2">
        <v>51</v>
      </c>
      <c r="Z12" s="2">
        <v>52</v>
      </c>
      <c r="AA12" s="2">
        <v>53</v>
      </c>
      <c r="AB12" s="2">
        <v>50.5</v>
      </c>
      <c r="AC12" s="2">
        <v>50</v>
      </c>
      <c r="AD12" s="2">
        <v>61</v>
      </c>
      <c r="AE12" s="2">
        <v>55</v>
      </c>
      <c r="AF12" s="2">
        <v>57</v>
      </c>
      <c r="AG12" s="2">
        <v>57</v>
      </c>
      <c r="AH12" s="2">
        <v>54</v>
      </c>
      <c r="AI12" s="2">
        <v>53</v>
      </c>
      <c r="AJ12" s="2">
        <v>53</v>
      </c>
      <c r="AK12" s="3">
        <v>62</v>
      </c>
      <c r="AL12" s="3">
        <v>56.5</v>
      </c>
    </row>
    <row r="13" spans="1:38" ht="15.75" customHeight="1" x14ac:dyDescent="0.2">
      <c r="E13" s="2" t="s">
        <v>51</v>
      </c>
      <c r="F13" s="2" t="s">
        <v>52</v>
      </c>
      <c r="G13" s="2">
        <v>27</v>
      </c>
      <c r="H13" s="2">
        <v>30</v>
      </c>
      <c r="I13" s="2">
        <v>19</v>
      </c>
      <c r="J13" s="2">
        <v>21</v>
      </c>
      <c r="K13" s="2">
        <v>23</v>
      </c>
      <c r="L13" s="2">
        <v>20</v>
      </c>
      <c r="M13" s="2">
        <v>24</v>
      </c>
      <c r="N13" s="2">
        <v>24</v>
      </c>
      <c r="O13" s="2">
        <v>26</v>
      </c>
      <c r="P13" s="2">
        <v>20</v>
      </c>
      <c r="Q13" s="2">
        <v>24</v>
      </c>
      <c r="R13" s="2">
        <v>20</v>
      </c>
      <c r="S13" s="2">
        <v>22</v>
      </c>
      <c r="T13" s="2">
        <v>24</v>
      </c>
      <c r="U13" s="2">
        <v>23</v>
      </c>
      <c r="V13" s="2">
        <v>21</v>
      </c>
      <c r="W13" s="2">
        <v>24</v>
      </c>
      <c r="X13" s="2">
        <v>28.5</v>
      </c>
      <c r="Y13" s="2">
        <v>26</v>
      </c>
      <c r="Z13" s="2">
        <v>26</v>
      </c>
      <c r="AA13" s="2">
        <v>28</v>
      </c>
      <c r="AB13" s="2">
        <v>23.5</v>
      </c>
      <c r="AC13" s="2">
        <v>25</v>
      </c>
      <c r="AD13" s="2">
        <v>20</v>
      </c>
      <c r="AE13" s="2">
        <v>25</v>
      </c>
      <c r="AF13" s="2">
        <v>27</v>
      </c>
      <c r="AG13" s="2">
        <v>27</v>
      </c>
      <c r="AH13" s="2">
        <v>23</v>
      </c>
      <c r="AI13" s="2">
        <v>26</v>
      </c>
      <c r="AJ13" s="2">
        <v>23</v>
      </c>
      <c r="AK13" s="3">
        <v>25</v>
      </c>
      <c r="AL13" s="3">
        <v>23.5</v>
      </c>
    </row>
    <row r="14" spans="1:38" ht="15.75" customHeight="1" x14ac:dyDescent="0.2">
      <c r="E14" s="2" t="s">
        <v>53</v>
      </c>
      <c r="F14" s="2" t="s">
        <v>54</v>
      </c>
      <c r="G14" s="2">
        <v>102</v>
      </c>
      <c r="H14" s="2">
        <v>102</v>
      </c>
      <c r="I14" s="2">
        <v>107</v>
      </c>
      <c r="J14" s="2">
        <v>107</v>
      </c>
      <c r="K14" s="2">
        <v>107</v>
      </c>
      <c r="L14" s="2">
        <v>107</v>
      </c>
      <c r="M14" s="2">
        <v>112</v>
      </c>
      <c r="N14" s="2">
        <v>112</v>
      </c>
      <c r="O14" s="2">
        <v>112</v>
      </c>
      <c r="P14" s="2">
        <v>98</v>
      </c>
      <c r="Q14" s="2">
        <v>112</v>
      </c>
      <c r="R14" s="2">
        <v>101</v>
      </c>
      <c r="S14" s="2">
        <v>112</v>
      </c>
      <c r="T14" s="2">
        <v>101</v>
      </c>
      <c r="U14" s="2">
        <v>101</v>
      </c>
      <c r="V14" s="2">
        <v>101</v>
      </c>
      <c r="W14" s="2">
        <v>100</v>
      </c>
      <c r="X14" s="2">
        <v>109</v>
      </c>
      <c r="Y14" s="2">
        <v>98</v>
      </c>
      <c r="Z14" s="2">
        <v>98</v>
      </c>
      <c r="AA14" s="2">
        <v>101</v>
      </c>
      <c r="AB14" s="2">
        <v>101</v>
      </c>
      <c r="AC14" s="2">
        <v>101</v>
      </c>
      <c r="AD14" s="2">
        <v>101</v>
      </c>
      <c r="AE14" s="2">
        <v>101</v>
      </c>
      <c r="AF14" s="2">
        <v>101</v>
      </c>
      <c r="AG14" s="2">
        <v>101</v>
      </c>
      <c r="AH14" s="2">
        <v>101</v>
      </c>
      <c r="AI14" s="2">
        <v>101</v>
      </c>
      <c r="AJ14" s="2">
        <v>101</v>
      </c>
      <c r="AK14" s="3">
        <v>101</v>
      </c>
      <c r="AL14" s="3">
        <v>109</v>
      </c>
    </row>
    <row r="15" spans="1:38" ht="15.75" customHeight="1" x14ac:dyDescent="0.2"/>
    <row r="16" spans="1:38" ht="15.75" customHeight="1" x14ac:dyDescent="0.2"/>
    <row r="17" spans="3:9" ht="15.75" customHeight="1" x14ac:dyDescent="0.2"/>
    <row r="18" spans="3:9" ht="15.75" customHeight="1" x14ac:dyDescent="0.2"/>
    <row r="19" spans="3:9" ht="15.75" customHeight="1" x14ac:dyDescent="0.25">
      <c r="F19" s="34" t="s">
        <v>88</v>
      </c>
      <c r="G19" s="34" t="s">
        <v>87</v>
      </c>
      <c r="H19" s="34" t="s">
        <v>86</v>
      </c>
      <c r="I19" s="34" t="s">
        <v>85</v>
      </c>
    </row>
    <row r="20" spans="3:9" ht="15.75" customHeight="1" x14ac:dyDescent="0.2">
      <c r="F20" s="33" t="s">
        <v>1</v>
      </c>
      <c r="G20" t="s">
        <v>83</v>
      </c>
      <c r="H20">
        <v>1993</v>
      </c>
      <c r="I20">
        <f t="shared" ref="I20:I51" si="1">2024-H20</f>
        <v>31</v>
      </c>
    </row>
    <row r="21" spans="3:9" ht="15.75" customHeight="1" x14ac:dyDescent="0.2">
      <c r="F21" s="33" t="s">
        <v>2</v>
      </c>
      <c r="G21" t="s">
        <v>83</v>
      </c>
      <c r="H21">
        <v>1992</v>
      </c>
      <c r="I21">
        <f t="shared" si="1"/>
        <v>32</v>
      </c>
    </row>
    <row r="22" spans="3:9" ht="15.75" customHeight="1" x14ac:dyDescent="0.2">
      <c r="C22" s="2"/>
      <c r="F22" s="33" t="s">
        <v>3</v>
      </c>
      <c r="G22" t="s">
        <v>84</v>
      </c>
      <c r="H22">
        <v>1998</v>
      </c>
      <c r="I22">
        <f t="shared" si="1"/>
        <v>26</v>
      </c>
    </row>
    <row r="23" spans="3:9" ht="15.75" customHeight="1" x14ac:dyDescent="0.2">
      <c r="F23" s="33" t="s">
        <v>4</v>
      </c>
      <c r="G23" t="s">
        <v>84</v>
      </c>
      <c r="H23">
        <v>1989</v>
      </c>
      <c r="I23">
        <f t="shared" si="1"/>
        <v>35</v>
      </c>
    </row>
    <row r="24" spans="3:9" ht="15.75" customHeight="1" x14ac:dyDescent="0.2">
      <c r="F24" s="33" t="s">
        <v>5</v>
      </c>
      <c r="G24" t="s">
        <v>84</v>
      </c>
      <c r="H24">
        <v>1992</v>
      </c>
      <c r="I24">
        <f t="shared" si="1"/>
        <v>32</v>
      </c>
    </row>
    <row r="25" spans="3:9" ht="15.75" customHeight="1" x14ac:dyDescent="0.2">
      <c r="F25" s="33" t="s">
        <v>6</v>
      </c>
      <c r="G25" t="s">
        <v>83</v>
      </c>
      <c r="H25">
        <v>1980</v>
      </c>
      <c r="I25">
        <f t="shared" si="1"/>
        <v>44</v>
      </c>
    </row>
    <row r="26" spans="3:9" ht="15.75" customHeight="1" x14ac:dyDescent="0.2">
      <c r="F26" s="33" t="s">
        <v>7</v>
      </c>
      <c r="G26" t="s">
        <v>83</v>
      </c>
      <c r="H26">
        <v>1994</v>
      </c>
      <c r="I26">
        <f t="shared" si="1"/>
        <v>30</v>
      </c>
    </row>
    <row r="27" spans="3:9" ht="15.75" customHeight="1" x14ac:dyDescent="0.2">
      <c r="F27" s="33" t="s">
        <v>8</v>
      </c>
      <c r="G27" t="s">
        <v>83</v>
      </c>
      <c r="H27">
        <v>1990</v>
      </c>
      <c r="I27">
        <f t="shared" si="1"/>
        <v>34</v>
      </c>
    </row>
    <row r="28" spans="3:9" ht="15.75" customHeight="1" x14ac:dyDescent="0.2">
      <c r="F28" s="33" t="s">
        <v>9</v>
      </c>
      <c r="G28" t="s">
        <v>83</v>
      </c>
      <c r="H28">
        <v>1996</v>
      </c>
      <c r="I28">
        <f t="shared" si="1"/>
        <v>28</v>
      </c>
    </row>
    <row r="29" spans="3:9" ht="15.75" customHeight="1" x14ac:dyDescent="0.2">
      <c r="F29" s="33" t="s">
        <v>10</v>
      </c>
      <c r="G29" t="s">
        <v>83</v>
      </c>
      <c r="H29">
        <v>1993</v>
      </c>
      <c r="I29">
        <f t="shared" si="1"/>
        <v>31</v>
      </c>
    </row>
    <row r="30" spans="3:9" ht="15.75" customHeight="1" x14ac:dyDescent="0.2">
      <c r="F30" s="33" t="s">
        <v>11</v>
      </c>
      <c r="G30" t="s">
        <v>83</v>
      </c>
      <c r="H30">
        <v>1983</v>
      </c>
      <c r="I30">
        <f t="shared" si="1"/>
        <v>41</v>
      </c>
    </row>
    <row r="31" spans="3:9" ht="15.75" customHeight="1" x14ac:dyDescent="0.2">
      <c r="F31" s="33" t="s">
        <v>12</v>
      </c>
      <c r="G31" t="s">
        <v>83</v>
      </c>
      <c r="H31">
        <v>1980</v>
      </c>
      <c r="I31">
        <f t="shared" si="1"/>
        <v>44</v>
      </c>
    </row>
    <row r="32" spans="3:9" ht="15.75" customHeight="1" x14ac:dyDescent="0.2">
      <c r="F32" s="33" t="s">
        <v>13</v>
      </c>
      <c r="G32" t="s">
        <v>83</v>
      </c>
      <c r="H32">
        <v>1996</v>
      </c>
      <c r="I32">
        <f t="shared" si="1"/>
        <v>28</v>
      </c>
    </row>
    <row r="33" spans="6:9" ht="15.75" customHeight="1" x14ac:dyDescent="0.2">
      <c r="F33" s="33" t="s">
        <v>14</v>
      </c>
      <c r="G33" t="s">
        <v>84</v>
      </c>
      <c r="H33">
        <v>1990</v>
      </c>
      <c r="I33">
        <f t="shared" si="1"/>
        <v>34</v>
      </c>
    </row>
    <row r="34" spans="6:9" ht="15.75" customHeight="1" x14ac:dyDescent="0.2">
      <c r="F34" s="33" t="s">
        <v>15</v>
      </c>
      <c r="G34" t="s">
        <v>83</v>
      </c>
      <c r="H34">
        <v>1990</v>
      </c>
      <c r="I34">
        <f t="shared" si="1"/>
        <v>34</v>
      </c>
    </row>
    <row r="35" spans="6:9" ht="15.75" customHeight="1" x14ac:dyDescent="0.2">
      <c r="F35" s="33" t="s">
        <v>16</v>
      </c>
      <c r="G35" t="s">
        <v>84</v>
      </c>
      <c r="H35">
        <v>1994</v>
      </c>
      <c r="I35">
        <f t="shared" si="1"/>
        <v>30</v>
      </c>
    </row>
    <row r="36" spans="6:9" ht="15.75" customHeight="1" x14ac:dyDescent="0.2">
      <c r="F36" s="33" t="s">
        <v>17</v>
      </c>
      <c r="G36" t="s">
        <v>83</v>
      </c>
      <c r="H36">
        <v>1999</v>
      </c>
      <c r="I36">
        <f t="shared" si="1"/>
        <v>25</v>
      </c>
    </row>
    <row r="37" spans="6:9" ht="15.75" customHeight="1" x14ac:dyDescent="0.2">
      <c r="F37" s="33" t="s">
        <v>18</v>
      </c>
      <c r="G37" t="s">
        <v>84</v>
      </c>
      <c r="H37">
        <v>1996</v>
      </c>
      <c r="I37">
        <f t="shared" si="1"/>
        <v>28</v>
      </c>
    </row>
    <row r="38" spans="6:9" ht="15.75" customHeight="1" x14ac:dyDescent="0.2">
      <c r="F38" s="33" t="s">
        <v>19</v>
      </c>
      <c r="G38" t="s">
        <v>83</v>
      </c>
      <c r="H38">
        <v>1994</v>
      </c>
      <c r="I38">
        <f t="shared" si="1"/>
        <v>30</v>
      </c>
    </row>
    <row r="39" spans="6:9" ht="15.75" customHeight="1" x14ac:dyDescent="0.2">
      <c r="F39" s="33" t="s">
        <v>20</v>
      </c>
      <c r="G39" t="s">
        <v>84</v>
      </c>
      <c r="H39">
        <v>1990</v>
      </c>
      <c r="I39">
        <f t="shared" si="1"/>
        <v>34</v>
      </c>
    </row>
    <row r="40" spans="6:9" ht="15.75" customHeight="1" x14ac:dyDescent="0.2">
      <c r="F40" s="33" t="s">
        <v>21</v>
      </c>
      <c r="G40" t="s">
        <v>83</v>
      </c>
      <c r="H40">
        <v>1994</v>
      </c>
      <c r="I40">
        <f t="shared" si="1"/>
        <v>30</v>
      </c>
    </row>
    <row r="41" spans="6:9" ht="15.75" customHeight="1" x14ac:dyDescent="0.2">
      <c r="F41" s="33" t="s">
        <v>22</v>
      </c>
      <c r="G41" t="s">
        <v>83</v>
      </c>
      <c r="H41">
        <v>1998</v>
      </c>
      <c r="I41">
        <f t="shared" si="1"/>
        <v>26</v>
      </c>
    </row>
    <row r="42" spans="6:9" ht="15.75" customHeight="1" x14ac:dyDescent="0.2">
      <c r="F42" s="33" t="s">
        <v>23</v>
      </c>
      <c r="G42" t="s">
        <v>83</v>
      </c>
      <c r="H42">
        <v>1992</v>
      </c>
      <c r="I42">
        <f t="shared" si="1"/>
        <v>32</v>
      </c>
    </row>
    <row r="43" spans="6:9" ht="15.75" customHeight="1" x14ac:dyDescent="0.2">
      <c r="F43" s="33" t="s">
        <v>24</v>
      </c>
      <c r="G43" t="s">
        <v>83</v>
      </c>
      <c r="H43">
        <v>1990</v>
      </c>
      <c r="I43">
        <f t="shared" si="1"/>
        <v>34</v>
      </c>
    </row>
    <row r="44" spans="6:9" ht="15.75" customHeight="1" x14ac:dyDescent="0.2">
      <c r="F44" s="33" t="s">
        <v>25</v>
      </c>
      <c r="G44" t="s">
        <v>84</v>
      </c>
      <c r="H44">
        <v>1993</v>
      </c>
      <c r="I44">
        <f t="shared" si="1"/>
        <v>31</v>
      </c>
    </row>
    <row r="45" spans="6:9" ht="15.75" customHeight="1" x14ac:dyDescent="0.2">
      <c r="F45" s="33" t="s">
        <v>26</v>
      </c>
      <c r="G45" t="s">
        <v>84</v>
      </c>
      <c r="H45">
        <v>1994</v>
      </c>
      <c r="I45">
        <f t="shared" si="1"/>
        <v>30</v>
      </c>
    </row>
    <row r="46" spans="6:9" ht="15.75" customHeight="1" x14ac:dyDescent="0.2">
      <c r="F46" s="33" t="s">
        <v>27</v>
      </c>
      <c r="G46" t="s">
        <v>84</v>
      </c>
      <c r="H46">
        <v>1994</v>
      </c>
      <c r="I46">
        <f t="shared" si="1"/>
        <v>30</v>
      </c>
    </row>
    <row r="47" spans="6:9" ht="15.75" customHeight="1" x14ac:dyDescent="0.2">
      <c r="F47" s="33" t="s">
        <v>28</v>
      </c>
      <c r="G47" t="s">
        <v>84</v>
      </c>
      <c r="H47">
        <v>1994</v>
      </c>
      <c r="I47">
        <f t="shared" si="1"/>
        <v>30</v>
      </c>
    </row>
    <row r="48" spans="6:9" ht="15.75" customHeight="1" x14ac:dyDescent="0.2">
      <c r="F48" s="33" t="s">
        <v>29</v>
      </c>
      <c r="G48" t="s">
        <v>84</v>
      </c>
      <c r="H48">
        <v>1998</v>
      </c>
      <c r="I48">
        <f t="shared" si="1"/>
        <v>26</v>
      </c>
    </row>
    <row r="49" spans="6:9" ht="15.75" customHeight="1" x14ac:dyDescent="0.2">
      <c r="F49" s="33" t="s">
        <v>30</v>
      </c>
      <c r="G49" t="s">
        <v>84</v>
      </c>
      <c r="H49">
        <v>1992</v>
      </c>
      <c r="I49">
        <f t="shared" si="1"/>
        <v>32</v>
      </c>
    </row>
    <row r="50" spans="6:9" ht="15.75" customHeight="1" x14ac:dyDescent="0.2">
      <c r="F50" s="33" t="s">
        <v>31</v>
      </c>
      <c r="G50" t="s">
        <v>83</v>
      </c>
      <c r="H50">
        <v>1996</v>
      </c>
      <c r="I50">
        <f t="shared" si="1"/>
        <v>28</v>
      </c>
    </row>
    <row r="51" spans="6:9" ht="15.75" customHeight="1" x14ac:dyDescent="0.2">
      <c r="F51" s="33" t="s">
        <v>32</v>
      </c>
      <c r="G51" t="s">
        <v>83</v>
      </c>
      <c r="H51">
        <v>1985</v>
      </c>
      <c r="I51">
        <f t="shared" si="1"/>
        <v>39</v>
      </c>
    </row>
    <row r="52" spans="6:9" ht="15.75" customHeight="1" x14ac:dyDescent="0.2">
      <c r="F52" s="24" t="s">
        <v>89</v>
      </c>
      <c r="G52" s="35">
        <f>COUNTIF(G20:G51,"L")</f>
        <v>19</v>
      </c>
      <c r="H52" s="35" t="s">
        <v>92</v>
      </c>
      <c r="I52" s="35">
        <f>AVERAGE(I20:I51)</f>
        <v>31.84375</v>
      </c>
    </row>
    <row r="53" spans="6:9" ht="15.75" customHeight="1" x14ac:dyDescent="0.2">
      <c r="F53" s="24" t="s">
        <v>90</v>
      </c>
      <c r="G53" s="35">
        <f>COUNTIF(G20:G51,"P")</f>
        <v>13</v>
      </c>
      <c r="H53" s="35" t="s">
        <v>93</v>
      </c>
      <c r="I53" s="35">
        <f>MIN(I20:I51)</f>
        <v>25</v>
      </c>
    </row>
    <row r="54" spans="6:9" ht="15.75" customHeight="1" x14ac:dyDescent="0.2">
      <c r="F54" s="24" t="s">
        <v>91</v>
      </c>
      <c r="G54" s="35">
        <f>G52+G53</f>
        <v>32</v>
      </c>
      <c r="H54" s="35" t="s">
        <v>94</v>
      </c>
      <c r="I54" s="35">
        <f>MAX(I20:I51)</f>
        <v>44</v>
      </c>
    </row>
    <row r="55" spans="6:9" ht="15.75" customHeight="1" x14ac:dyDescent="0.2"/>
    <row r="56" spans="6:9" ht="15.75" customHeight="1" x14ac:dyDescent="0.2"/>
    <row r="57" spans="6:9" ht="15.75" customHeight="1" x14ac:dyDescent="0.2"/>
    <row r="58" spans="6:9" ht="15.75" customHeight="1" x14ac:dyDescent="0.2"/>
    <row r="59" spans="6:9" ht="15.75" customHeight="1" x14ac:dyDescent="0.2"/>
    <row r="60" spans="6:9" ht="15.75" customHeight="1" x14ac:dyDescent="0.2"/>
    <row r="61" spans="6:9" ht="15.75" customHeight="1" x14ac:dyDescent="0.2"/>
    <row r="62" spans="6:9" ht="15.75" customHeight="1" x14ac:dyDescent="0.2"/>
    <row r="63" spans="6:9" ht="15.75" customHeight="1" x14ac:dyDescent="0.2"/>
    <row r="64" spans="6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EA16-5CCB-486C-80D1-82504E79C2FE}">
  <dimension ref="A1:Z115"/>
  <sheetViews>
    <sheetView tabSelected="1" topLeftCell="J16" zoomScale="85" zoomScaleNormal="85" workbookViewId="0">
      <selection activeCell="W24" sqref="W24"/>
    </sheetView>
  </sheetViews>
  <sheetFormatPr defaultRowHeight="12.75" x14ac:dyDescent="0.2"/>
  <cols>
    <col min="2" max="2" width="16" bestFit="1" customWidth="1"/>
    <col min="3" max="7" width="7.7109375" customWidth="1"/>
    <col min="8" max="8" width="20" customWidth="1"/>
    <col min="9" max="9" width="10.5703125" customWidth="1"/>
    <col min="10" max="10" width="8.28515625" customWidth="1"/>
    <col min="11" max="24" width="5.7109375" customWidth="1"/>
    <col min="26" max="26" width="12.42578125" bestFit="1" customWidth="1"/>
  </cols>
  <sheetData>
    <row r="1" spans="1:26" ht="25.5" x14ac:dyDescent="0.2">
      <c r="A1" s="36"/>
      <c r="B1" s="36" t="s">
        <v>95</v>
      </c>
      <c r="C1" s="36" t="s">
        <v>33</v>
      </c>
      <c r="D1" s="36" t="s">
        <v>35</v>
      </c>
      <c r="E1" s="36" t="s">
        <v>37</v>
      </c>
      <c r="F1" s="36" t="s">
        <v>39</v>
      </c>
      <c r="G1" s="36" t="s">
        <v>41</v>
      </c>
      <c r="H1" s="36"/>
      <c r="I1" s="36"/>
      <c r="J1" s="55"/>
      <c r="K1" s="55"/>
      <c r="L1" s="55"/>
      <c r="M1" s="55"/>
      <c r="N1" s="55"/>
      <c r="O1" s="55"/>
      <c r="P1" s="37" t="s">
        <v>110</v>
      </c>
      <c r="Q1" s="37"/>
      <c r="R1" s="37" t="s">
        <v>111</v>
      </c>
      <c r="S1" s="37"/>
      <c r="T1" s="37" t="s">
        <v>112</v>
      </c>
      <c r="U1" s="37"/>
      <c r="V1" s="37" t="s">
        <v>109</v>
      </c>
      <c r="W1" s="37"/>
      <c r="X1" s="37" t="s">
        <v>136</v>
      </c>
    </row>
    <row r="2" spans="1:26" ht="51" x14ac:dyDescent="0.2">
      <c r="A2" s="37" t="s">
        <v>115</v>
      </c>
      <c r="B2" s="37" t="s">
        <v>96</v>
      </c>
      <c r="C2" s="38" t="s">
        <v>42</v>
      </c>
      <c r="D2" s="38" t="s">
        <v>113</v>
      </c>
      <c r="E2" s="38" t="s">
        <v>114</v>
      </c>
      <c r="F2" s="37" t="s">
        <v>40</v>
      </c>
      <c r="G2" s="37" t="s">
        <v>38</v>
      </c>
      <c r="H2" s="38" t="s">
        <v>96</v>
      </c>
      <c r="I2" s="41" t="s">
        <v>103</v>
      </c>
      <c r="J2" s="37" t="s">
        <v>110</v>
      </c>
      <c r="K2" s="37" t="s">
        <v>111</v>
      </c>
      <c r="L2" s="37" t="s">
        <v>112</v>
      </c>
      <c r="M2" s="37" t="s">
        <v>109</v>
      </c>
      <c r="N2" s="37" t="s">
        <v>136</v>
      </c>
      <c r="O2" s="55"/>
      <c r="P2" s="37" t="s">
        <v>138</v>
      </c>
      <c r="Q2" s="37" t="s">
        <v>139</v>
      </c>
      <c r="R2" s="37" t="s">
        <v>138</v>
      </c>
      <c r="S2" s="37" t="s">
        <v>139</v>
      </c>
      <c r="T2" s="37" t="s">
        <v>138</v>
      </c>
      <c r="U2" s="37" t="s">
        <v>139</v>
      </c>
      <c r="V2" s="37" t="s">
        <v>138</v>
      </c>
      <c r="W2" s="37" t="s">
        <v>139</v>
      </c>
      <c r="X2" s="37" t="s">
        <v>138</v>
      </c>
    </row>
    <row r="3" spans="1:26" x14ac:dyDescent="0.2">
      <c r="A3" s="56" t="s">
        <v>83</v>
      </c>
      <c r="B3" s="39" t="s">
        <v>1</v>
      </c>
      <c r="C3" s="39">
        <v>64</v>
      </c>
      <c r="D3" s="39">
        <v>46</v>
      </c>
      <c r="E3" s="39">
        <v>46</v>
      </c>
      <c r="F3" s="39">
        <v>42</v>
      </c>
      <c r="G3" s="39">
        <v>57</v>
      </c>
      <c r="H3" s="42" t="s">
        <v>104</v>
      </c>
      <c r="I3" s="62">
        <f>E24</f>
        <v>460</v>
      </c>
      <c r="J3" s="56" t="str">
        <f t="shared" ref="J3:J18" si="0">IF(OR($I$3&lt;=0.88*E3*10,$I$3&gt;=0.95*10*E3),"miss","match")</f>
        <v>miss</v>
      </c>
      <c r="K3" s="56" t="str">
        <f t="shared" ref="K3:K18" si="1">IF(OR($I$4&lt;=0.8*D3*10,$I$4&gt;=0.95*10*D3),"miss","match")</f>
        <v>miss</v>
      </c>
      <c r="L3" s="56" t="str">
        <f t="shared" ref="L3:L18" si="2">IF(OR($I$5&lt;=1.1*F3*10,$I$5&gt;=1.3*10*F3),"miss","match")</f>
        <v>match</v>
      </c>
      <c r="M3" s="56" t="str">
        <f t="shared" ref="M3:M18" si="3">IF(OR($I$6&lt;=0.6*C3*10,$I$6&gt;=0.8*10*C3),"miss","match")</f>
        <v>match</v>
      </c>
      <c r="N3" s="56" t="str">
        <f t="shared" ref="N3:N18" si="4">IF($I$7&lt;F3*10,"miss","match")</f>
        <v>match</v>
      </c>
      <c r="O3" s="55"/>
      <c r="P3" s="55" t="str">
        <f t="shared" ref="P3:P18" si="5">IF($I$3&lt;=0.8*10*E3,"miss","match")</f>
        <v>match</v>
      </c>
      <c r="Q3" s="55" t="str">
        <f t="shared" ref="Q3:Q18" si="6">IF($I$3&gt;=9.5*E3,"miss","match")</f>
        <v>miss</v>
      </c>
      <c r="R3" s="55" t="str">
        <f t="shared" ref="R3:R18" si="7">IF($I$4&lt;=8*D3,"miss","match")</f>
        <v>match</v>
      </c>
      <c r="S3" s="55" t="str">
        <f t="shared" ref="S3:S18" si="8">IF($I$4&gt;=9.5*D3,"miss","match")</f>
        <v>miss</v>
      </c>
      <c r="T3" s="55" t="str">
        <f t="shared" ref="T3:T18" si="9">IF($I$5&lt;=11*F3,"miss","match")</f>
        <v>match</v>
      </c>
      <c r="U3" s="55" t="str">
        <f t="shared" ref="U3:U18" si="10">IF($I$5&gt;=13*F3,"miss","match")</f>
        <v>match</v>
      </c>
      <c r="V3" s="55" t="str">
        <f t="shared" ref="V3:V18" si="11">IF($I$6&lt;=6*C3,"miss","match")</f>
        <v>match</v>
      </c>
      <c r="W3" s="55" t="str">
        <f t="shared" ref="W3:W18" si="12">IF($I$6&gt;=8*C3,"miss","match")</f>
        <v>match</v>
      </c>
      <c r="X3" s="55" t="str">
        <f>IF($I$7&lt;=10*G3,"miss","match")</f>
        <v>miss</v>
      </c>
      <c r="Z3">
        <v>50</v>
      </c>
    </row>
    <row r="4" spans="1:26" x14ac:dyDescent="0.2">
      <c r="A4" s="56" t="s">
        <v>83</v>
      </c>
      <c r="B4" s="39" t="s">
        <v>2</v>
      </c>
      <c r="C4" s="39">
        <v>67</v>
      </c>
      <c r="D4" s="39">
        <v>46</v>
      </c>
      <c r="E4" s="39">
        <v>45</v>
      </c>
      <c r="F4" s="39">
        <v>40</v>
      </c>
      <c r="G4" s="39">
        <v>56</v>
      </c>
      <c r="H4" s="42" t="s">
        <v>105</v>
      </c>
      <c r="I4" s="62">
        <f>D24</f>
        <v>460</v>
      </c>
      <c r="J4" s="56" t="str">
        <f t="shared" si="0"/>
        <v>miss</v>
      </c>
      <c r="K4" s="56" t="str">
        <f t="shared" si="1"/>
        <v>miss</v>
      </c>
      <c r="L4" s="56" t="str">
        <f t="shared" si="2"/>
        <v>match</v>
      </c>
      <c r="M4" s="56" t="str">
        <f t="shared" si="3"/>
        <v>match</v>
      </c>
      <c r="N4" s="56" t="str">
        <f t="shared" si="4"/>
        <v>match</v>
      </c>
      <c r="O4" s="55"/>
      <c r="P4" s="55" t="str">
        <f t="shared" si="5"/>
        <v>match</v>
      </c>
      <c r="Q4" s="55" t="str">
        <f t="shared" si="6"/>
        <v>miss</v>
      </c>
      <c r="R4" s="55" t="str">
        <f t="shared" si="7"/>
        <v>match</v>
      </c>
      <c r="S4" s="55" t="str">
        <f t="shared" si="8"/>
        <v>miss</v>
      </c>
      <c r="T4" s="55" t="str">
        <f t="shared" si="9"/>
        <v>match</v>
      </c>
      <c r="U4" s="55" t="str">
        <f t="shared" si="10"/>
        <v>match</v>
      </c>
      <c r="V4" s="55" t="str">
        <f t="shared" si="11"/>
        <v>match</v>
      </c>
      <c r="W4" s="55" t="str">
        <f t="shared" si="12"/>
        <v>match</v>
      </c>
      <c r="X4" s="55" t="str">
        <f t="shared" ref="X4:X18" si="13">IF($I$7&lt;=10*G4,"miss","match")</f>
        <v>miss</v>
      </c>
      <c r="Z4">
        <v>52</v>
      </c>
    </row>
    <row r="5" spans="1:26" x14ac:dyDescent="0.2">
      <c r="A5" s="56" t="s">
        <v>83</v>
      </c>
      <c r="B5" s="39" t="s">
        <v>6</v>
      </c>
      <c r="C5" s="39">
        <v>68</v>
      </c>
      <c r="D5" s="39">
        <v>50</v>
      </c>
      <c r="E5" s="39">
        <v>49</v>
      </c>
      <c r="F5" s="39">
        <v>42</v>
      </c>
      <c r="G5" s="39">
        <v>64</v>
      </c>
      <c r="H5" s="42" t="s">
        <v>106</v>
      </c>
      <c r="I5" s="43">
        <v>515</v>
      </c>
      <c r="J5" s="56" t="str">
        <f t="shared" si="0"/>
        <v>match</v>
      </c>
      <c r="K5" s="56" t="str">
        <f t="shared" si="1"/>
        <v>match</v>
      </c>
      <c r="L5" s="56" t="str">
        <f t="shared" si="2"/>
        <v>match</v>
      </c>
      <c r="M5" s="56" t="str">
        <f t="shared" si="3"/>
        <v>match</v>
      </c>
      <c r="N5" s="56" t="str">
        <f t="shared" si="4"/>
        <v>match</v>
      </c>
      <c r="O5" s="55"/>
      <c r="P5" s="55" t="str">
        <f t="shared" si="5"/>
        <v>match</v>
      </c>
      <c r="Q5" s="55" t="str">
        <f t="shared" si="6"/>
        <v>match</v>
      </c>
      <c r="R5" s="55" t="str">
        <f t="shared" si="7"/>
        <v>match</v>
      </c>
      <c r="S5" s="55" t="str">
        <f t="shared" si="8"/>
        <v>match</v>
      </c>
      <c r="T5" s="55" t="str">
        <f t="shared" si="9"/>
        <v>match</v>
      </c>
      <c r="U5" s="55" t="str">
        <f t="shared" si="10"/>
        <v>match</v>
      </c>
      <c r="V5" s="55" t="str">
        <f t="shared" si="11"/>
        <v>match</v>
      </c>
      <c r="W5" s="55" t="str">
        <f t="shared" si="12"/>
        <v>match</v>
      </c>
      <c r="X5" s="55" t="str">
        <f t="shared" si="13"/>
        <v>miss</v>
      </c>
      <c r="Z5">
        <v>54</v>
      </c>
    </row>
    <row r="6" spans="1:26" x14ac:dyDescent="0.2">
      <c r="A6" s="56" t="s">
        <v>83</v>
      </c>
      <c r="B6" s="39" t="s">
        <v>7</v>
      </c>
      <c r="C6" s="39">
        <v>64</v>
      </c>
      <c r="D6" s="39">
        <v>47</v>
      </c>
      <c r="E6" s="39">
        <v>45.5</v>
      </c>
      <c r="F6" s="39">
        <v>46</v>
      </c>
      <c r="G6" s="39">
        <v>52.5</v>
      </c>
      <c r="H6" s="42" t="s">
        <v>107</v>
      </c>
      <c r="I6" s="43">
        <v>434</v>
      </c>
      <c r="J6" s="56" t="str">
        <f t="shared" si="0"/>
        <v>miss</v>
      </c>
      <c r="K6" s="56" t="str">
        <f t="shared" si="1"/>
        <v>miss</v>
      </c>
      <c r="L6" s="56" t="str">
        <f t="shared" si="2"/>
        <v>match</v>
      </c>
      <c r="M6" s="56" t="str">
        <f t="shared" si="3"/>
        <v>match</v>
      </c>
      <c r="N6" s="56" t="str">
        <f t="shared" si="4"/>
        <v>match</v>
      </c>
      <c r="O6" s="55"/>
      <c r="P6" s="55" t="str">
        <f t="shared" si="5"/>
        <v>match</v>
      </c>
      <c r="Q6" s="55" t="str">
        <f t="shared" si="6"/>
        <v>miss</v>
      </c>
      <c r="R6" s="55" t="str">
        <f t="shared" si="7"/>
        <v>match</v>
      </c>
      <c r="S6" s="55" t="str">
        <f t="shared" si="8"/>
        <v>miss</v>
      </c>
      <c r="T6" s="55" t="str">
        <f t="shared" si="9"/>
        <v>match</v>
      </c>
      <c r="U6" s="55" t="str">
        <f t="shared" si="10"/>
        <v>match</v>
      </c>
      <c r="V6" s="55" t="str">
        <f t="shared" si="11"/>
        <v>match</v>
      </c>
      <c r="W6" s="55" t="str">
        <f t="shared" si="12"/>
        <v>match</v>
      </c>
      <c r="X6" s="55" t="str">
        <f t="shared" si="13"/>
        <v>match</v>
      </c>
      <c r="Z6">
        <v>56</v>
      </c>
    </row>
    <row r="7" spans="1:26" x14ac:dyDescent="0.2">
      <c r="A7" s="56" t="s">
        <v>83</v>
      </c>
      <c r="B7" s="39" t="s">
        <v>8</v>
      </c>
      <c r="C7" s="39">
        <v>63</v>
      </c>
      <c r="D7" s="39">
        <v>42</v>
      </c>
      <c r="E7" s="39">
        <v>45</v>
      </c>
      <c r="F7" s="39">
        <v>41</v>
      </c>
      <c r="G7" s="39">
        <v>53</v>
      </c>
      <c r="H7" s="42" t="s">
        <v>108</v>
      </c>
      <c r="I7" s="62">
        <f>G24</f>
        <v>527.5</v>
      </c>
      <c r="J7" s="56" t="str">
        <f t="shared" si="0"/>
        <v>miss</v>
      </c>
      <c r="K7" s="56" t="str">
        <f t="shared" si="1"/>
        <v>miss</v>
      </c>
      <c r="L7" s="56" t="str">
        <f t="shared" si="2"/>
        <v>match</v>
      </c>
      <c r="M7" s="56" t="str">
        <f t="shared" si="3"/>
        <v>match</v>
      </c>
      <c r="N7" s="56" t="str">
        <f t="shared" si="4"/>
        <v>match</v>
      </c>
      <c r="O7" s="55"/>
      <c r="P7" s="55" t="str">
        <f t="shared" si="5"/>
        <v>match</v>
      </c>
      <c r="Q7" s="55" t="str">
        <f t="shared" si="6"/>
        <v>miss</v>
      </c>
      <c r="R7" s="55" t="str">
        <f t="shared" si="7"/>
        <v>match</v>
      </c>
      <c r="S7" s="55" t="str">
        <f t="shared" si="8"/>
        <v>miss</v>
      </c>
      <c r="T7" s="55" t="str">
        <f t="shared" si="9"/>
        <v>match</v>
      </c>
      <c r="U7" s="55" t="str">
        <f t="shared" si="10"/>
        <v>match</v>
      </c>
      <c r="V7" s="55" t="str">
        <f t="shared" si="11"/>
        <v>match</v>
      </c>
      <c r="W7" s="55" t="str">
        <f t="shared" si="12"/>
        <v>match</v>
      </c>
      <c r="X7" s="55" t="str">
        <f t="shared" si="13"/>
        <v>miss</v>
      </c>
      <c r="Z7">
        <v>58</v>
      </c>
    </row>
    <row r="8" spans="1:26" x14ac:dyDescent="0.2">
      <c r="A8" s="56" t="s">
        <v>83</v>
      </c>
      <c r="B8" s="39" t="s">
        <v>9</v>
      </c>
      <c r="C8" s="39">
        <v>62</v>
      </c>
      <c r="D8" s="39">
        <v>44</v>
      </c>
      <c r="E8" s="39">
        <v>49</v>
      </c>
      <c r="F8" s="39">
        <v>43</v>
      </c>
      <c r="G8" s="39">
        <v>55</v>
      </c>
      <c r="H8" s="56"/>
      <c r="I8" s="56"/>
      <c r="J8" s="56" t="str">
        <f t="shared" si="0"/>
        <v>match</v>
      </c>
      <c r="K8" s="56" t="str">
        <f t="shared" si="1"/>
        <v>miss</v>
      </c>
      <c r="L8" s="56" t="str">
        <f t="shared" si="2"/>
        <v>match</v>
      </c>
      <c r="M8" s="56" t="str">
        <f t="shared" si="3"/>
        <v>match</v>
      </c>
      <c r="N8" s="56" t="str">
        <f t="shared" si="4"/>
        <v>match</v>
      </c>
      <c r="O8" s="55"/>
      <c r="P8" s="55" t="str">
        <f t="shared" si="5"/>
        <v>match</v>
      </c>
      <c r="Q8" s="55" t="str">
        <f t="shared" si="6"/>
        <v>match</v>
      </c>
      <c r="R8" s="55" t="str">
        <f t="shared" si="7"/>
        <v>match</v>
      </c>
      <c r="S8" s="55" t="str">
        <f t="shared" si="8"/>
        <v>miss</v>
      </c>
      <c r="T8" s="55" t="str">
        <f t="shared" si="9"/>
        <v>match</v>
      </c>
      <c r="U8" s="55" t="str">
        <f t="shared" si="10"/>
        <v>match</v>
      </c>
      <c r="V8" s="55" t="str">
        <f t="shared" si="11"/>
        <v>match</v>
      </c>
      <c r="W8" s="55" t="str">
        <f t="shared" si="12"/>
        <v>match</v>
      </c>
      <c r="X8" s="55" t="str">
        <f t="shared" si="13"/>
        <v>miss</v>
      </c>
      <c r="Z8">
        <v>60</v>
      </c>
    </row>
    <row r="9" spans="1:26" x14ac:dyDescent="0.2">
      <c r="A9" s="56" t="s">
        <v>83</v>
      </c>
      <c r="B9" s="39" t="s">
        <v>10</v>
      </c>
      <c r="C9" s="39">
        <v>63</v>
      </c>
      <c r="D9" s="39">
        <v>49</v>
      </c>
      <c r="E9" s="39">
        <v>46</v>
      </c>
      <c r="F9" s="39">
        <v>49</v>
      </c>
      <c r="G9" s="39">
        <v>43</v>
      </c>
      <c r="H9" s="56"/>
      <c r="I9" s="56"/>
      <c r="J9" s="56" t="str">
        <f t="shared" si="0"/>
        <v>miss</v>
      </c>
      <c r="K9" s="56" t="str">
        <f t="shared" si="1"/>
        <v>match</v>
      </c>
      <c r="L9" s="56" t="str">
        <f t="shared" si="2"/>
        <v>miss</v>
      </c>
      <c r="M9" s="56" t="str">
        <f t="shared" si="3"/>
        <v>match</v>
      </c>
      <c r="N9" s="56" t="str">
        <f t="shared" si="4"/>
        <v>match</v>
      </c>
      <c r="O9" s="55"/>
      <c r="P9" s="55" t="str">
        <f t="shared" si="5"/>
        <v>match</v>
      </c>
      <c r="Q9" s="55" t="str">
        <f t="shared" si="6"/>
        <v>miss</v>
      </c>
      <c r="R9" s="55" t="str">
        <f t="shared" si="7"/>
        <v>match</v>
      </c>
      <c r="S9" s="55" t="str">
        <f t="shared" si="8"/>
        <v>match</v>
      </c>
      <c r="T9" s="55" t="str">
        <f t="shared" si="9"/>
        <v>miss</v>
      </c>
      <c r="U9" s="55" t="str">
        <f t="shared" si="10"/>
        <v>match</v>
      </c>
      <c r="V9" s="55" t="str">
        <f t="shared" si="11"/>
        <v>match</v>
      </c>
      <c r="W9" s="55" t="str">
        <f t="shared" si="12"/>
        <v>match</v>
      </c>
      <c r="X9" s="55" t="str">
        <f t="shared" si="13"/>
        <v>match</v>
      </c>
      <c r="Z9">
        <v>62</v>
      </c>
    </row>
    <row r="10" spans="1:26" x14ac:dyDescent="0.2">
      <c r="A10" s="56" t="s">
        <v>83</v>
      </c>
      <c r="B10" s="39" t="s">
        <v>11</v>
      </c>
      <c r="C10" s="39">
        <v>61</v>
      </c>
      <c r="D10" s="39">
        <v>44</v>
      </c>
      <c r="E10" s="39">
        <v>44</v>
      </c>
      <c r="F10" s="39">
        <v>43</v>
      </c>
      <c r="G10" s="39">
        <v>52</v>
      </c>
      <c r="H10" s="56"/>
      <c r="I10" s="56"/>
      <c r="J10" s="56" t="str">
        <f t="shared" si="0"/>
        <v>miss</v>
      </c>
      <c r="K10" s="56" t="str">
        <f t="shared" si="1"/>
        <v>miss</v>
      </c>
      <c r="L10" s="56" t="str">
        <f t="shared" si="2"/>
        <v>match</v>
      </c>
      <c r="M10" s="56" t="str">
        <f t="shared" si="3"/>
        <v>match</v>
      </c>
      <c r="N10" s="56" t="str">
        <f t="shared" si="4"/>
        <v>match</v>
      </c>
      <c r="O10" s="55"/>
      <c r="P10" s="55" t="str">
        <f t="shared" si="5"/>
        <v>match</v>
      </c>
      <c r="Q10" s="55" t="str">
        <f t="shared" si="6"/>
        <v>miss</v>
      </c>
      <c r="R10" s="55" t="str">
        <f t="shared" si="7"/>
        <v>match</v>
      </c>
      <c r="S10" s="55" t="str">
        <f t="shared" si="8"/>
        <v>miss</v>
      </c>
      <c r="T10" s="55" t="str">
        <f t="shared" si="9"/>
        <v>match</v>
      </c>
      <c r="U10" s="55" t="str">
        <f t="shared" si="10"/>
        <v>match</v>
      </c>
      <c r="V10" s="55" t="str">
        <f t="shared" si="11"/>
        <v>match</v>
      </c>
      <c r="W10" s="55" t="str">
        <f t="shared" si="12"/>
        <v>match</v>
      </c>
      <c r="X10" s="55" t="str">
        <f t="shared" si="13"/>
        <v>match</v>
      </c>
      <c r="Z10">
        <v>64</v>
      </c>
    </row>
    <row r="11" spans="1:26" x14ac:dyDescent="0.2">
      <c r="A11" s="56" t="s">
        <v>83</v>
      </c>
      <c r="B11" s="39" t="s">
        <v>12</v>
      </c>
      <c r="C11" s="39">
        <v>57</v>
      </c>
      <c r="D11" s="39">
        <v>45</v>
      </c>
      <c r="E11" s="39">
        <v>46</v>
      </c>
      <c r="F11" s="39">
        <v>41</v>
      </c>
      <c r="G11" s="39">
        <v>44</v>
      </c>
      <c r="H11" s="56"/>
      <c r="I11" s="56"/>
      <c r="J11" s="56" t="str">
        <f t="shared" si="0"/>
        <v>miss</v>
      </c>
      <c r="K11" s="56" t="str">
        <f t="shared" si="1"/>
        <v>miss</v>
      </c>
      <c r="L11" s="56" t="str">
        <f t="shared" si="2"/>
        <v>match</v>
      </c>
      <c r="M11" s="56" t="str">
        <f t="shared" si="3"/>
        <v>match</v>
      </c>
      <c r="N11" s="56" t="str">
        <f t="shared" si="4"/>
        <v>match</v>
      </c>
      <c r="O11" s="55"/>
      <c r="P11" s="55" t="str">
        <f t="shared" si="5"/>
        <v>match</v>
      </c>
      <c r="Q11" s="55" t="str">
        <f t="shared" si="6"/>
        <v>miss</v>
      </c>
      <c r="R11" s="55" t="str">
        <f t="shared" si="7"/>
        <v>match</v>
      </c>
      <c r="S11" s="55" t="str">
        <f t="shared" si="8"/>
        <v>miss</v>
      </c>
      <c r="T11" s="55" t="str">
        <f t="shared" si="9"/>
        <v>match</v>
      </c>
      <c r="U11" s="55" t="str">
        <f t="shared" si="10"/>
        <v>match</v>
      </c>
      <c r="V11" s="55" t="str">
        <f t="shared" si="11"/>
        <v>match</v>
      </c>
      <c r="W11" s="55" t="str">
        <f t="shared" si="12"/>
        <v>match</v>
      </c>
      <c r="X11" s="55" t="str">
        <f t="shared" si="13"/>
        <v>match</v>
      </c>
      <c r="Z11">
        <v>66</v>
      </c>
    </row>
    <row r="12" spans="1:26" x14ac:dyDescent="0.2">
      <c r="A12" s="56" t="s">
        <v>83</v>
      </c>
      <c r="B12" s="39" t="s">
        <v>13</v>
      </c>
      <c r="C12" s="39">
        <v>58</v>
      </c>
      <c r="D12" s="39">
        <v>42</v>
      </c>
      <c r="E12" s="39">
        <v>43</v>
      </c>
      <c r="F12" s="39">
        <v>41</v>
      </c>
      <c r="G12" s="39">
        <v>52</v>
      </c>
      <c r="H12" s="56"/>
      <c r="I12" s="56"/>
      <c r="J12" s="56" t="str">
        <f t="shared" si="0"/>
        <v>miss</v>
      </c>
      <c r="K12" s="56" t="str">
        <f t="shared" si="1"/>
        <v>miss</v>
      </c>
      <c r="L12" s="56" t="str">
        <f t="shared" si="2"/>
        <v>match</v>
      </c>
      <c r="M12" s="56" t="str">
        <f t="shared" si="3"/>
        <v>match</v>
      </c>
      <c r="N12" s="56" t="str">
        <f t="shared" si="4"/>
        <v>match</v>
      </c>
      <c r="O12" s="55"/>
      <c r="P12" s="55" t="str">
        <f t="shared" si="5"/>
        <v>match</v>
      </c>
      <c r="Q12" s="55" t="str">
        <f t="shared" si="6"/>
        <v>miss</v>
      </c>
      <c r="R12" s="55" t="str">
        <f t="shared" si="7"/>
        <v>match</v>
      </c>
      <c r="S12" s="55" t="str">
        <f t="shared" si="8"/>
        <v>miss</v>
      </c>
      <c r="T12" s="55" t="str">
        <f t="shared" si="9"/>
        <v>match</v>
      </c>
      <c r="U12" s="55" t="str">
        <f t="shared" si="10"/>
        <v>match</v>
      </c>
      <c r="V12" s="55" t="str">
        <f t="shared" si="11"/>
        <v>match</v>
      </c>
      <c r="W12" s="55" t="str">
        <f t="shared" si="12"/>
        <v>match</v>
      </c>
      <c r="X12" s="55" t="str">
        <f t="shared" si="13"/>
        <v>match</v>
      </c>
      <c r="Z12">
        <v>68</v>
      </c>
    </row>
    <row r="13" spans="1:26" x14ac:dyDescent="0.2">
      <c r="A13" s="56" t="s">
        <v>83</v>
      </c>
      <c r="B13" s="39" t="s">
        <v>15</v>
      </c>
      <c r="C13" s="39">
        <v>59</v>
      </c>
      <c r="D13" s="39">
        <v>47</v>
      </c>
      <c r="E13" s="39">
        <v>46</v>
      </c>
      <c r="F13" s="39">
        <v>46</v>
      </c>
      <c r="G13" s="39">
        <v>64</v>
      </c>
      <c r="H13" s="56"/>
      <c r="I13" s="56"/>
      <c r="J13" s="56" t="str">
        <f t="shared" si="0"/>
        <v>miss</v>
      </c>
      <c r="K13" s="56" t="str">
        <f t="shared" si="1"/>
        <v>miss</v>
      </c>
      <c r="L13" s="56" t="str">
        <f t="shared" si="2"/>
        <v>match</v>
      </c>
      <c r="M13" s="56" t="str">
        <f t="shared" si="3"/>
        <v>match</v>
      </c>
      <c r="N13" s="56" t="str">
        <f t="shared" si="4"/>
        <v>match</v>
      </c>
      <c r="O13" s="55"/>
      <c r="P13" s="55" t="str">
        <f t="shared" si="5"/>
        <v>match</v>
      </c>
      <c r="Q13" s="55" t="str">
        <f t="shared" si="6"/>
        <v>miss</v>
      </c>
      <c r="R13" s="55" t="str">
        <f t="shared" si="7"/>
        <v>match</v>
      </c>
      <c r="S13" s="55" t="str">
        <f t="shared" si="8"/>
        <v>miss</v>
      </c>
      <c r="T13" s="55" t="str">
        <f t="shared" si="9"/>
        <v>match</v>
      </c>
      <c r="U13" s="55" t="str">
        <f t="shared" si="10"/>
        <v>match</v>
      </c>
      <c r="V13" s="55" t="str">
        <f t="shared" si="11"/>
        <v>match</v>
      </c>
      <c r="W13" s="55" t="str">
        <f t="shared" si="12"/>
        <v>match</v>
      </c>
      <c r="X13" s="55" t="str">
        <f t="shared" si="13"/>
        <v>miss</v>
      </c>
      <c r="Z13">
        <v>70</v>
      </c>
    </row>
    <row r="14" spans="1:26" x14ac:dyDescent="0.2">
      <c r="A14" s="56" t="s">
        <v>83</v>
      </c>
      <c r="B14" s="39" t="s">
        <v>17</v>
      </c>
      <c r="C14" s="39">
        <v>54.5</v>
      </c>
      <c r="D14" s="39">
        <v>45.5</v>
      </c>
      <c r="E14" s="39">
        <v>46</v>
      </c>
      <c r="F14" s="39">
        <v>46</v>
      </c>
      <c r="G14" s="39">
        <v>58</v>
      </c>
      <c r="H14" s="56"/>
      <c r="I14" s="56"/>
      <c r="J14" s="56" t="str">
        <f t="shared" si="0"/>
        <v>miss</v>
      </c>
      <c r="K14" s="56" t="str">
        <f t="shared" si="1"/>
        <v>miss</v>
      </c>
      <c r="L14" s="56" t="str">
        <f t="shared" si="2"/>
        <v>match</v>
      </c>
      <c r="M14" s="56" t="str">
        <f t="shared" si="3"/>
        <v>match</v>
      </c>
      <c r="N14" s="56" t="str">
        <f t="shared" si="4"/>
        <v>match</v>
      </c>
      <c r="O14" s="55"/>
      <c r="P14" s="55" t="str">
        <f t="shared" si="5"/>
        <v>match</v>
      </c>
      <c r="Q14" s="55" t="str">
        <f t="shared" si="6"/>
        <v>miss</v>
      </c>
      <c r="R14" s="55" t="str">
        <f t="shared" si="7"/>
        <v>match</v>
      </c>
      <c r="S14" s="55" t="str">
        <f t="shared" si="8"/>
        <v>miss</v>
      </c>
      <c r="T14" s="55" t="str">
        <f t="shared" si="9"/>
        <v>match</v>
      </c>
      <c r="U14" s="55" t="str">
        <f t="shared" si="10"/>
        <v>match</v>
      </c>
      <c r="V14" s="55" t="str">
        <f t="shared" si="11"/>
        <v>match</v>
      </c>
      <c r="W14" s="55" t="str">
        <f t="shared" si="12"/>
        <v>match</v>
      </c>
      <c r="X14" s="55" t="str">
        <f t="shared" si="13"/>
        <v>miss</v>
      </c>
    </row>
    <row r="15" spans="1:26" x14ac:dyDescent="0.2">
      <c r="A15" s="56" t="s">
        <v>83</v>
      </c>
      <c r="B15" s="39" t="s">
        <v>19</v>
      </c>
      <c r="C15" s="39">
        <v>57.5</v>
      </c>
      <c r="D15" s="39">
        <v>41</v>
      </c>
      <c r="E15" s="39">
        <v>43.5</v>
      </c>
      <c r="F15" s="39">
        <v>44</v>
      </c>
      <c r="G15" s="39">
        <v>43</v>
      </c>
      <c r="H15" s="56"/>
      <c r="I15" s="56"/>
      <c r="J15" s="56" t="str">
        <f t="shared" si="0"/>
        <v>miss</v>
      </c>
      <c r="K15" s="56" t="str">
        <f t="shared" si="1"/>
        <v>miss</v>
      </c>
      <c r="L15" s="56" t="str">
        <f t="shared" si="2"/>
        <v>match</v>
      </c>
      <c r="M15" s="56" t="str">
        <f t="shared" si="3"/>
        <v>match</v>
      </c>
      <c r="N15" s="56" t="str">
        <f t="shared" si="4"/>
        <v>match</v>
      </c>
      <c r="O15" s="55"/>
      <c r="P15" s="55" t="str">
        <f t="shared" si="5"/>
        <v>match</v>
      </c>
      <c r="Q15" s="55" t="str">
        <f t="shared" si="6"/>
        <v>miss</v>
      </c>
      <c r="R15" s="55" t="str">
        <f t="shared" si="7"/>
        <v>match</v>
      </c>
      <c r="S15" s="55" t="str">
        <f t="shared" si="8"/>
        <v>miss</v>
      </c>
      <c r="T15" s="55" t="str">
        <f t="shared" si="9"/>
        <v>match</v>
      </c>
      <c r="U15" s="55" t="str">
        <f t="shared" si="10"/>
        <v>match</v>
      </c>
      <c r="V15" s="55" t="str">
        <f t="shared" si="11"/>
        <v>match</v>
      </c>
      <c r="W15" s="55" t="str">
        <f t="shared" si="12"/>
        <v>match</v>
      </c>
      <c r="X15" s="55" t="str">
        <f t="shared" si="13"/>
        <v>match</v>
      </c>
    </row>
    <row r="16" spans="1:26" x14ac:dyDescent="0.2">
      <c r="A16" s="56" t="s">
        <v>83</v>
      </c>
      <c r="B16" s="39" t="s">
        <v>24</v>
      </c>
      <c r="C16" s="39">
        <v>56</v>
      </c>
      <c r="D16" s="39">
        <v>47</v>
      </c>
      <c r="E16" s="39">
        <v>46</v>
      </c>
      <c r="F16" s="39">
        <v>46</v>
      </c>
      <c r="G16" s="39">
        <v>39</v>
      </c>
      <c r="H16" s="56"/>
      <c r="I16" s="56"/>
      <c r="J16" s="56" t="str">
        <f t="shared" si="0"/>
        <v>miss</v>
      </c>
      <c r="K16" s="56" t="str">
        <f t="shared" si="1"/>
        <v>miss</v>
      </c>
      <c r="L16" s="56" t="str">
        <f t="shared" si="2"/>
        <v>match</v>
      </c>
      <c r="M16" s="56" t="str">
        <f t="shared" si="3"/>
        <v>match</v>
      </c>
      <c r="N16" s="56" t="str">
        <f t="shared" si="4"/>
        <v>match</v>
      </c>
      <c r="O16" s="55"/>
      <c r="P16" s="55" t="str">
        <f t="shared" si="5"/>
        <v>match</v>
      </c>
      <c r="Q16" s="55" t="str">
        <f t="shared" si="6"/>
        <v>miss</v>
      </c>
      <c r="R16" s="55" t="str">
        <f t="shared" si="7"/>
        <v>match</v>
      </c>
      <c r="S16" s="55" t="str">
        <f t="shared" si="8"/>
        <v>miss</v>
      </c>
      <c r="T16" s="55" t="str">
        <f t="shared" si="9"/>
        <v>match</v>
      </c>
      <c r="U16" s="55" t="str">
        <f t="shared" si="10"/>
        <v>match</v>
      </c>
      <c r="V16" s="55" t="str">
        <f t="shared" si="11"/>
        <v>match</v>
      </c>
      <c r="W16" s="55" t="str">
        <f t="shared" si="12"/>
        <v>match</v>
      </c>
      <c r="X16" s="55" t="str">
        <f t="shared" si="13"/>
        <v>match</v>
      </c>
    </row>
    <row r="17" spans="1:25" x14ac:dyDescent="0.2">
      <c r="A17" s="56" t="s">
        <v>83</v>
      </c>
      <c r="B17" s="39" t="s">
        <v>31</v>
      </c>
      <c r="C17" s="39">
        <v>68</v>
      </c>
      <c r="D17" s="39">
        <v>51</v>
      </c>
      <c r="E17" s="39">
        <v>49</v>
      </c>
      <c r="F17" s="39">
        <v>48</v>
      </c>
      <c r="G17" s="39">
        <v>58</v>
      </c>
      <c r="H17" s="56"/>
      <c r="I17" s="56"/>
      <c r="J17" s="56" t="str">
        <f t="shared" si="0"/>
        <v>match</v>
      </c>
      <c r="K17" s="56" t="str">
        <f t="shared" si="1"/>
        <v>match</v>
      </c>
      <c r="L17" s="56" t="str">
        <f t="shared" si="2"/>
        <v>miss</v>
      </c>
      <c r="M17" s="56" t="str">
        <f t="shared" si="3"/>
        <v>match</v>
      </c>
      <c r="N17" s="56" t="str">
        <f t="shared" si="4"/>
        <v>match</v>
      </c>
      <c r="O17" s="55"/>
      <c r="P17" s="55" t="str">
        <f t="shared" si="5"/>
        <v>match</v>
      </c>
      <c r="Q17" s="55" t="str">
        <f t="shared" si="6"/>
        <v>match</v>
      </c>
      <c r="R17" s="55" t="str">
        <f t="shared" si="7"/>
        <v>match</v>
      </c>
      <c r="S17" s="55" t="str">
        <f t="shared" si="8"/>
        <v>match</v>
      </c>
      <c r="T17" s="55" t="str">
        <f t="shared" si="9"/>
        <v>miss</v>
      </c>
      <c r="U17" s="55" t="str">
        <f t="shared" si="10"/>
        <v>match</v>
      </c>
      <c r="V17" s="55" t="str">
        <f t="shared" si="11"/>
        <v>match</v>
      </c>
      <c r="W17" s="55" t="str">
        <f t="shared" si="12"/>
        <v>match</v>
      </c>
      <c r="X17" s="55" t="str">
        <f t="shared" si="13"/>
        <v>miss</v>
      </c>
    </row>
    <row r="18" spans="1:25" x14ac:dyDescent="0.2">
      <c r="A18" s="56" t="s">
        <v>83</v>
      </c>
      <c r="B18" s="39" t="s">
        <v>32</v>
      </c>
      <c r="C18" s="39">
        <v>61</v>
      </c>
      <c r="D18" s="39">
        <v>48</v>
      </c>
      <c r="E18" s="39">
        <v>46</v>
      </c>
      <c r="F18" s="39">
        <v>42</v>
      </c>
      <c r="G18" s="39">
        <v>49.5</v>
      </c>
      <c r="H18" s="56"/>
      <c r="I18" s="56"/>
      <c r="J18" s="56" t="str">
        <f t="shared" si="0"/>
        <v>miss</v>
      </c>
      <c r="K18" s="56" t="str">
        <f t="shared" si="1"/>
        <v>miss</v>
      </c>
      <c r="L18" s="56" t="str">
        <f t="shared" si="2"/>
        <v>match</v>
      </c>
      <c r="M18" s="56" t="str">
        <f t="shared" si="3"/>
        <v>match</v>
      </c>
      <c r="N18" s="56" t="str">
        <f t="shared" si="4"/>
        <v>match</v>
      </c>
      <c r="O18" s="55"/>
      <c r="P18" s="55" t="str">
        <f t="shared" si="5"/>
        <v>match</v>
      </c>
      <c r="Q18" s="55" t="str">
        <f t="shared" si="6"/>
        <v>miss</v>
      </c>
      <c r="R18" s="55" t="str">
        <f t="shared" si="7"/>
        <v>match</v>
      </c>
      <c r="S18" s="55" t="str">
        <f t="shared" si="8"/>
        <v>miss</v>
      </c>
      <c r="T18" s="55" t="str">
        <f t="shared" si="9"/>
        <v>match</v>
      </c>
      <c r="U18" s="55" t="str">
        <f t="shared" si="10"/>
        <v>match</v>
      </c>
      <c r="V18" s="55" t="str">
        <f t="shared" si="11"/>
        <v>match</v>
      </c>
      <c r="W18" s="55" t="str">
        <f t="shared" si="12"/>
        <v>match</v>
      </c>
      <c r="X18" s="55" t="str">
        <f t="shared" si="13"/>
        <v>match</v>
      </c>
    </row>
    <row r="19" spans="1:25" x14ac:dyDescent="0.2">
      <c r="A19" s="56"/>
      <c r="B19" s="40" t="s">
        <v>97</v>
      </c>
      <c r="C19" s="36">
        <f>MAX(C3:C18)*10</f>
        <v>680</v>
      </c>
      <c r="D19" s="36">
        <f t="shared" ref="D19:G19" si="14">MAX(D3:D18)*10</f>
        <v>510</v>
      </c>
      <c r="E19" s="36">
        <f t="shared" si="14"/>
        <v>490</v>
      </c>
      <c r="F19" s="36">
        <f t="shared" si="14"/>
        <v>490</v>
      </c>
      <c r="G19" s="36">
        <f t="shared" si="14"/>
        <v>640</v>
      </c>
      <c r="H19" s="56"/>
      <c r="I19" s="36" t="s">
        <v>116</v>
      </c>
      <c r="J19" s="44">
        <f>P19+Q19</f>
        <v>0.8125</v>
      </c>
      <c r="K19" s="44">
        <f>R19+S19</f>
        <v>0.8125</v>
      </c>
      <c r="L19" s="44">
        <f>T19+U19</f>
        <v>0.125</v>
      </c>
      <c r="M19" s="44">
        <f>V19+W19</f>
        <v>0</v>
      </c>
      <c r="N19" s="44">
        <f>X19</f>
        <v>0.5</v>
      </c>
      <c r="O19" s="55"/>
      <c r="P19" s="44">
        <f t="shared" ref="P19:X19" si="15">COUNTIF(P3:P18,"=miss")/16</f>
        <v>0</v>
      </c>
      <c r="Q19" s="44">
        <f t="shared" si="15"/>
        <v>0.8125</v>
      </c>
      <c r="R19" s="44">
        <f t="shared" si="15"/>
        <v>0</v>
      </c>
      <c r="S19" s="44">
        <f t="shared" si="15"/>
        <v>0.8125</v>
      </c>
      <c r="T19" s="44">
        <f t="shared" si="15"/>
        <v>0.125</v>
      </c>
      <c r="U19" s="44">
        <f t="shared" si="15"/>
        <v>0</v>
      </c>
      <c r="V19" s="44">
        <f t="shared" si="15"/>
        <v>0</v>
      </c>
      <c r="W19" s="44">
        <f t="shared" si="15"/>
        <v>0</v>
      </c>
      <c r="X19" s="44">
        <f t="shared" si="15"/>
        <v>0.5</v>
      </c>
      <c r="Y19" s="45"/>
    </row>
    <row r="20" spans="1:25" x14ac:dyDescent="0.2">
      <c r="A20" s="56"/>
      <c r="B20" s="40" t="s">
        <v>98</v>
      </c>
      <c r="C20" s="36">
        <f>MIN(C3:C18)*10</f>
        <v>545</v>
      </c>
      <c r="D20" s="36">
        <f t="shared" ref="D20:G20" si="16">MIN(D3:D18)*10</f>
        <v>410</v>
      </c>
      <c r="E20" s="36">
        <f t="shared" si="16"/>
        <v>430</v>
      </c>
      <c r="F20" s="36">
        <f t="shared" si="16"/>
        <v>400</v>
      </c>
      <c r="G20" s="36">
        <f t="shared" si="16"/>
        <v>390</v>
      </c>
      <c r="H20" s="56"/>
      <c r="I20" s="36" t="s">
        <v>140</v>
      </c>
      <c r="J20" s="44">
        <f>Mismatch!J19</f>
        <v>1</v>
      </c>
      <c r="K20" s="44">
        <f>Mismatch!K19</f>
        <v>0.9375</v>
      </c>
      <c r="L20" s="44">
        <f>Mismatch!L19</f>
        <v>0.125</v>
      </c>
      <c r="M20" s="44">
        <f>Mismatch!M19</f>
        <v>0</v>
      </c>
      <c r="N20" s="44">
        <f>Mismatch!N19</f>
        <v>0.75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spans="1:25" x14ac:dyDescent="0.2">
      <c r="A21" s="56"/>
      <c r="B21" s="40" t="s">
        <v>99</v>
      </c>
      <c r="C21" s="57">
        <f>AVERAGE(C3:C18)*10</f>
        <v>614.375</v>
      </c>
      <c r="D21" s="57">
        <f t="shared" ref="D21:G21" si="17">AVERAGE(D3:D18)*10</f>
        <v>459.0625</v>
      </c>
      <c r="E21" s="57">
        <f t="shared" si="17"/>
        <v>459.375</v>
      </c>
      <c r="F21" s="57">
        <f t="shared" si="17"/>
        <v>437.5</v>
      </c>
      <c r="G21" s="57">
        <f t="shared" si="17"/>
        <v>525</v>
      </c>
      <c r="H21" s="56"/>
      <c r="I21" s="36"/>
      <c r="J21" s="44"/>
      <c r="K21" s="44"/>
      <c r="L21" s="44"/>
      <c r="M21" s="44"/>
      <c r="N21" s="44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5" x14ac:dyDescent="0.2">
      <c r="A22" s="56"/>
      <c r="B22" s="40" t="s">
        <v>100</v>
      </c>
      <c r="C22" s="57">
        <f>_xlfn.STDEV.S(C3:C18)*10</f>
        <v>42.145581025773033</v>
      </c>
      <c r="D22" s="57">
        <f t="shared" ref="D22:G22" si="18">_xlfn.STDEV.S(D3:D18)*10</f>
        <v>28.648371099709429</v>
      </c>
      <c r="E22" s="57">
        <f t="shared" si="18"/>
        <v>17.969882210706519</v>
      </c>
      <c r="F22" s="57">
        <f t="shared" si="18"/>
        <v>27.446918466985203</v>
      </c>
      <c r="G22" s="57">
        <f t="shared" si="18"/>
        <v>73.416619371910613</v>
      </c>
      <c r="H22" s="56"/>
      <c r="I22" s="36"/>
      <c r="J22" s="44"/>
      <c r="K22" s="44"/>
      <c r="L22" s="44"/>
      <c r="M22" s="44"/>
      <c r="N22" s="44"/>
      <c r="O22" s="55"/>
      <c r="P22" s="55"/>
      <c r="Q22" s="55"/>
      <c r="R22" s="55"/>
      <c r="S22" s="55"/>
      <c r="T22" s="55"/>
      <c r="U22" s="55"/>
      <c r="V22" s="55"/>
      <c r="W22" s="55"/>
      <c r="X22" s="55"/>
    </row>
    <row r="23" spans="1:25" x14ac:dyDescent="0.2">
      <c r="A23" s="56"/>
      <c r="B23" s="40" t="s">
        <v>101</v>
      </c>
      <c r="C23" s="57">
        <f>_xlfn.PERCENTILE.INC(C3:C18,0.05)*10</f>
        <v>556.25</v>
      </c>
      <c r="D23" s="57">
        <f t="shared" ref="D23:G23" si="19">_xlfn.PERCENTILE.INC(D3:D18,0.05)*10</f>
        <v>417.5</v>
      </c>
      <c r="E23" s="57">
        <f t="shared" si="19"/>
        <v>433.75</v>
      </c>
      <c r="F23" s="57">
        <f t="shared" si="19"/>
        <v>407.5</v>
      </c>
      <c r="G23" s="57">
        <f t="shared" si="19"/>
        <v>420</v>
      </c>
      <c r="H23" s="56"/>
      <c r="I23" s="36"/>
      <c r="J23" s="44"/>
      <c r="K23" s="44"/>
      <c r="L23" s="44"/>
      <c r="M23" s="44"/>
      <c r="N23" s="44"/>
      <c r="O23" s="55"/>
      <c r="P23" s="55"/>
      <c r="Q23" s="55"/>
      <c r="R23" s="55"/>
      <c r="S23" s="55"/>
      <c r="T23" s="55"/>
      <c r="U23" s="55"/>
      <c r="V23" s="55"/>
      <c r="W23" s="55"/>
      <c r="X23" s="55"/>
    </row>
    <row r="24" spans="1:25" x14ac:dyDescent="0.2">
      <c r="A24" s="56"/>
      <c r="B24" s="40" t="s">
        <v>102</v>
      </c>
      <c r="C24" s="57">
        <f>_xlfn.PERCENTILE.INC(C3:C18,0.5)*10</f>
        <v>615</v>
      </c>
      <c r="D24" s="57">
        <f t="shared" ref="D24:G24" si="20">_xlfn.PERCENTILE.INC(D3:D18,0.5)*10</f>
        <v>460</v>
      </c>
      <c r="E24" s="57">
        <f t="shared" si="20"/>
        <v>460</v>
      </c>
      <c r="F24" s="57">
        <f t="shared" si="20"/>
        <v>430</v>
      </c>
      <c r="G24" s="57">
        <f t="shared" si="20"/>
        <v>527.5</v>
      </c>
      <c r="H24" s="56"/>
      <c r="I24" s="36"/>
      <c r="J24" s="44"/>
      <c r="K24" s="44"/>
      <c r="L24" s="44"/>
      <c r="M24" s="44"/>
      <c r="N24" s="44"/>
      <c r="O24" s="55"/>
      <c r="P24" s="55"/>
      <c r="Q24" s="55"/>
      <c r="R24" s="55"/>
      <c r="S24" s="55"/>
      <c r="T24" s="55"/>
      <c r="U24" s="55"/>
      <c r="V24" s="55"/>
      <c r="W24" s="55"/>
      <c r="X24" s="55"/>
    </row>
    <row r="25" spans="1:25" x14ac:dyDescent="0.2">
      <c r="A25" s="56"/>
      <c r="B25" s="40" t="s">
        <v>119</v>
      </c>
      <c r="C25" s="57">
        <f>_xlfn.PERCENTILE.INC(C3:C18,0.95)*10</f>
        <v>680</v>
      </c>
      <c r="D25" s="57">
        <f t="shared" ref="D25:G25" si="21">_xlfn.PERCENTILE.INC(D3:D18,0.95)*10</f>
        <v>502.5</v>
      </c>
      <c r="E25" s="57">
        <f t="shared" si="21"/>
        <v>490</v>
      </c>
      <c r="F25" s="57">
        <f t="shared" si="21"/>
        <v>482.5</v>
      </c>
      <c r="G25" s="57">
        <f t="shared" si="21"/>
        <v>640</v>
      </c>
      <c r="H25" s="56"/>
      <c r="I25" s="36"/>
      <c r="J25" s="44"/>
      <c r="K25" s="44"/>
      <c r="L25" s="44"/>
      <c r="M25" s="44"/>
      <c r="N25" s="44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1:25" x14ac:dyDescent="0.2">
      <c r="A26" s="56" t="s">
        <v>84</v>
      </c>
      <c r="B26" s="39" t="s">
        <v>3</v>
      </c>
      <c r="C26" s="39">
        <v>55</v>
      </c>
      <c r="D26" s="39">
        <v>41.5</v>
      </c>
      <c r="E26" s="39">
        <v>43</v>
      </c>
      <c r="F26" s="39">
        <v>39</v>
      </c>
      <c r="G26" s="2">
        <v>48</v>
      </c>
      <c r="H26" s="56"/>
      <c r="I26" s="56"/>
      <c r="J26" s="56" t="str">
        <f t="shared" ref="J26:J41" si="22">IF(OR($I$3&lt;=0.88*E26*10,$I$3&gt;=0.95*10*E26),"miss","match")</f>
        <v>miss</v>
      </c>
      <c r="K26" s="56" t="str">
        <f t="shared" ref="K26:K41" si="23">IF(OR($I$4&lt;=0.8*D26*10,$I$4&gt;=0.95*10*D26),"miss","match")</f>
        <v>miss</v>
      </c>
      <c r="L26" s="56" t="str">
        <f t="shared" ref="L26:L41" si="24">IF(OR($I$5&lt;=1.1*F26*10,$I$5&gt;=1.3*10*F26),"miss","match")</f>
        <v>miss</v>
      </c>
      <c r="M26" s="56" t="str">
        <f t="shared" ref="M26:M41" si="25">IF(OR($I$6&lt;=0.6*C26*10,$I$6&gt;=0.8*10*C26),"miss","match")</f>
        <v>match</v>
      </c>
      <c r="N26" s="56" t="str">
        <f t="shared" ref="N26:N41" si="26">IF($I$7&lt;F26*10,"miss","match")</f>
        <v>match</v>
      </c>
      <c r="O26" s="55"/>
      <c r="P26" s="55" t="str">
        <f t="shared" ref="P26:P41" si="27">IF($I$3&lt;=0.8*10*E26,"miss","match")</f>
        <v>match</v>
      </c>
      <c r="Q26" s="55" t="str">
        <f t="shared" ref="Q26:Q41" si="28">IF($I$3&gt;=9.5*E26,"miss","match")</f>
        <v>miss</v>
      </c>
      <c r="R26" s="55" t="str">
        <f t="shared" ref="R26:R41" si="29">IF($I$4&lt;=8*D26,"miss","match")</f>
        <v>match</v>
      </c>
      <c r="S26" s="55" t="str">
        <f t="shared" ref="S26:S41" si="30">IF($I$4&gt;=9.5*D26,"miss","match")</f>
        <v>miss</v>
      </c>
      <c r="T26" s="55" t="str">
        <f t="shared" ref="T26:T41" si="31">IF($I$5&lt;=11*F26,"miss","match")</f>
        <v>match</v>
      </c>
      <c r="U26" s="55" t="str">
        <f t="shared" ref="U26:U41" si="32">IF($I$5&gt;=13*F26,"miss","match")</f>
        <v>miss</v>
      </c>
      <c r="V26" s="55" t="str">
        <f t="shared" ref="V26:V41" si="33">IF($I$6&lt;=6*C26,"miss","match")</f>
        <v>match</v>
      </c>
      <c r="W26" s="55" t="str">
        <f t="shared" ref="W26:W41" si="34">IF($I$6&gt;=8*C26,"miss","match")</f>
        <v>match</v>
      </c>
      <c r="X26" s="55" t="str">
        <f>IF($I$7&lt;=10*G26,"miss","match")</f>
        <v>match</v>
      </c>
    </row>
    <row r="27" spans="1:25" x14ac:dyDescent="0.2">
      <c r="A27" s="56" t="s">
        <v>84</v>
      </c>
      <c r="B27" s="39" t="s">
        <v>4</v>
      </c>
      <c r="C27" s="39">
        <v>54.5</v>
      </c>
      <c r="D27" s="39">
        <v>46.5</v>
      </c>
      <c r="E27" s="39">
        <v>44</v>
      </c>
      <c r="F27" s="39">
        <v>42</v>
      </c>
      <c r="G27" s="2">
        <v>47</v>
      </c>
      <c r="H27" s="56"/>
      <c r="I27" s="56"/>
      <c r="J27" s="56" t="str">
        <f t="shared" si="22"/>
        <v>miss</v>
      </c>
      <c r="K27" s="56" t="str">
        <f t="shared" si="23"/>
        <v>miss</v>
      </c>
      <c r="L27" s="56" t="str">
        <f t="shared" si="24"/>
        <v>match</v>
      </c>
      <c r="M27" s="56" t="str">
        <f t="shared" si="25"/>
        <v>match</v>
      </c>
      <c r="N27" s="56" t="str">
        <f t="shared" si="26"/>
        <v>match</v>
      </c>
      <c r="O27" s="55"/>
      <c r="P27" s="55" t="str">
        <f t="shared" si="27"/>
        <v>match</v>
      </c>
      <c r="Q27" s="55" t="str">
        <f t="shared" si="28"/>
        <v>miss</v>
      </c>
      <c r="R27" s="55" t="str">
        <f t="shared" si="29"/>
        <v>match</v>
      </c>
      <c r="S27" s="55" t="str">
        <f t="shared" si="30"/>
        <v>miss</v>
      </c>
      <c r="T27" s="55" t="str">
        <f t="shared" si="31"/>
        <v>match</v>
      </c>
      <c r="U27" s="55" t="str">
        <f t="shared" si="32"/>
        <v>match</v>
      </c>
      <c r="V27" s="55" t="str">
        <f t="shared" si="33"/>
        <v>match</v>
      </c>
      <c r="W27" s="55" t="str">
        <f t="shared" si="34"/>
        <v>match</v>
      </c>
      <c r="X27" s="55" t="str">
        <f t="shared" ref="X27:X41" si="35">IF($I$7&lt;=10*G27,"miss","match")</f>
        <v>match</v>
      </c>
    </row>
    <row r="28" spans="1:25" x14ac:dyDescent="0.2">
      <c r="A28" s="56" t="s">
        <v>84</v>
      </c>
      <c r="B28" s="39" t="s">
        <v>5</v>
      </c>
      <c r="C28" s="39">
        <v>57</v>
      </c>
      <c r="D28" s="39">
        <v>48</v>
      </c>
      <c r="E28" s="39">
        <v>42.5</v>
      </c>
      <c r="F28" s="39">
        <v>43</v>
      </c>
      <c r="G28" s="2">
        <v>54</v>
      </c>
      <c r="H28" s="56"/>
      <c r="I28" s="56"/>
      <c r="J28" s="56" t="str">
        <f t="shared" si="22"/>
        <v>miss</v>
      </c>
      <c r="K28" s="56" t="str">
        <f t="shared" si="23"/>
        <v>miss</v>
      </c>
      <c r="L28" s="56" t="str">
        <f t="shared" si="24"/>
        <v>match</v>
      </c>
      <c r="M28" s="56" t="str">
        <f t="shared" si="25"/>
        <v>match</v>
      </c>
      <c r="N28" s="56" t="str">
        <f t="shared" si="26"/>
        <v>match</v>
      </c>
      <c r="O28" s="55"/>
      <c r="P28" s="55" t="str">
        <f t="shared" si="27"/>
        <v>match</v>
      </c>
      <c r="Q28" s="55" t="str">
        <f t="shared" si="28"/>
        <v>miss</v>
      </c>
      <c r="R28" s="55" t="str">
        <f t="shared" si="29"/>
        <v>match</v>
      </c>
      <c r="S28" s="55" t="str">
        <f t="shared" si="30"/>
        <v>miss</v>
      </c>
      <c r="T28" s="55" t="str">
        <f t="shared" si="31"/>
        <v>match</v>
      </c>
      <c r="U28" s="55" t="str">
        <f t="shared" si="32"/>
        <v>match</v>
      </c>
      <c r="V28" s="55" t="str">
        <f t="shared" si="33"/>
        <v>match</v>
      </c>
      <c r="W28" s="55" t="str">
        <f t="shared" si="34"/>
        <v>match</v>
      </c>
      <c r="X28" s="55" t="str">
        <f t="shared" si="35"/>
        <v>miss</v>
      </c>
    </row>
    <row r="29" spans="1:25" x14ac:dyDescent="0.2">
      <c r="A29" s="56" t="s">
        <v>84</v>
      </c>
      <c r="B29" s="39" t="s">
        <v>14</v>
      </c>
      <c r="C29" s="39">
        <v>61.5</v>
      </c>
      <c r="D29" s="39">
        <v>49</v>
      </c>
      <c r="E29" s="39">
        <v>45</v>
      </c>
      <c r="F29" s="39">
        <v>41</v>
      </c>
      <c r="G29" s="2">
        <v>50</v>
      </c>
      <c r="H29" s="56"/>
      <c r="I29" s="56"/>
      <c r="J29" s="56" t="str">
        <f t="shared" si="22"/>
        <v>miss</v>
      </c>
      <c r="K29" s="56" t="str">
        <f t="shared" si="23"/>
        <v>match</v>
      </c>
      <c r="L29" s="56" t="str">
        <f t="shared" si="24"/>
        <v>match</v>
      </c>
      <c r="M29" s="56" t="str">
        <f t="shared" si="25"/>
        <v>match</v>
      </c>
      <c r="N29" s="56" t="str">
        <f t="shared" si="26"/>
        <v>match</v>
      </c>
      <c r="O29" s="55"/>
      <c r="P29" s="55" t="str">
        <f t="shared" si="27"/>
        <v>match</v>
      </c>
      <c r="Q29" s="55" t="str">
        <f t="shared" si="28"/>
        <v>miss</v>
      </c>
      <c r="R29" s="55" t="str">
        <f t="shared" si="29"/>
        <v>match</v>
      </c>
      <c r="S29" s="55" t="str">
        <f t="shared" si="30"/>
        <v>match</v>
      </c>
      <c r="T29" s="55" t="str">
        <f t="shared" si="31"/>
        <v>match</v>
      </c>
      <c r="U29" s="55" t="str">
        <f t="shared" si="32"/>
        <v>match</v>
      </c>
      <c r="V29" s="55" t="str">
        <f t="shared" si="33"/>
        <v>match</v>
      </c>
      <c r="W29" s="55" t="str">
        <f t="shared" si="34"/>
        <v>match</v>
      </c>
      <c r="X29" s="55" t="str">
        <f t="shared" si="35"/>
        <v>match</v>
      </c>
    </row>
    <row r="30" spans="1:25" x14ac:dyDescent="0.2">
      <c r="A30" s="56" t="s">
        <v>84</v>
      </c>
      <c r="B30" s="39" t="s">
        <v>16</v>
      </c>
      <c r="C30" s="39">
        <v>58</v>
      </c>
      <c r="D30" s="39">
        <v>49</v>
      </c>
      <c r="E30" s="39">
        <v>46</v>
      </c>
      <c r="F30" s="39">
        <v>38</v>
      </c>
      <c r="G30" s="2">
        <v>60</v>
      </c>
      <c r="H30" s="56"/>
      <c r="I30" s="56"/>
      <c r="J30" s="56" t="str">
        <f t="shared" si="22"/>
        <v>miss</v>
      </c>
      <c r="K30" s="56" t="str">
        <f t="shared" si="23"/>
        <v>match</v>
      </c>
      <c r="L30" s="56" t="str">
        <f t="shared" si="24"/>
        <v>miss</v>
      </c>
      <c r="M30" s="56" t="str">
        <f t="shared" si="25"/>
        <v>match</v>
      </c>
      <c r="N30" s="56" t="str">
        <f t="shared" si="26"/>
        <v>match</v>
      </c>
      <c r="O30" s="55"/>
      <c r="P30" s="55" t="str">
        <f t="shared" si="27"/>
        <v>match</v>
      </c>
      <c r="Q30" s="55" t="str">
        <f t="shared" si="28"/>
        <v>miss</v>
      </c>
      <c r="R30" s="55" t="str">
        <f t="shared" si="29"/>
        <v>match</v>
      </c>
      <c r="S30" s="55" t="str">
        <f t="shared" si="30"/>
        <v>match</v>
      </c>
      <c r="T30" s="55" t="str">
        <f t="shared" si="31"/>
        <v>match</v>
      </c>
      <c r="U30" s="55" t="str">
        <f t="shared" si="32"/>
        <v>miss</v>
      </c>
      <c r="V30" s="55" t="str">
        <f t="shared" si="33"/>
        <v>match</v>
      </c>
      <c r="W30" s="55" t="str">
        <f t="shared" si="34"/>
        <v>match</v>
      </c>
      <c r="X30" s="55" t="str">
        <f t="shared" si="35"/>
        <v>miss</v>
      </c>
    </row>
    <row r="31" spans="1:25" x14ac:dyDescent="0.2">
      <c r="A31" s="56" t="s">
        <v>84</v>
      </c>
      <c r="B31" s="39" t="s">
        <v>18</v>
      </c>
      <c r="C31" s="39">
        <v>65</v>
      </c>
      <c r="D31" s="39">
        <v>50.5</v>
      </c>
      <c r="E31" s="39">
        <v>49.5</v>
      </c>
      <c r="F31" s="39">
        <v>41</v>
      </c>
      <c r="G31" s="2">
        <v>45.5</v>
      </c>
      <c r="H31" s="56"/>
      <c r="I31" s="56"/>
      <c r="J31" s="56" t="str">
        <f t="shared" si="22"/>
        <v>match</v>
      </c>
      <c r="K31" s="56" t="str">
        <f t="shared" si="23"/>
        <v>match</v>
      </c>
      <c r="L31" s="56" t="str">
        <f t="shared" si="24"/>
        <v>match</v>
      </c>
      <c r="M31" s="56" t="str">
        <f t="shared" si="25"/>
        <v>match</v>
      </c>
      <c r="N31" s="56" t="str">
        <f t="shared" si="26"/>
        <v>match</v>
      </c>
      <c r="O31" s="55"/>
      <c r="P31" s="55" t="str">
        <f t="shared" si="27"/>
        <v>match</v>
      </c>
      <c r="Q31" s="55" t="str">
        <f t="shared" si="28"/>
        <v>match</v>
      </c>
      <c r="R31" s="55" t="str">
        <f t="shared" si="29"/>
        <v>match</v>
      </c>
      <c r="S31" s="55" t="str">
        <f t="shared" si="30"/>
        <v>match</v>
      </c>
      <c r="T31" s="55" t="str">
        <f t="shared" si="31"/>
        <v>match</v>
      </c>
      <c r="U31" s="55" t="str">
        <f t="shared" si="32"/>
        <v>match</v>
      </c>
      <c r="V31" s="55" t="str">
        <f t="shared" si="33"/>
        <v>match</v>
      </c>
      <c r="W31" s="55" t="str">
        <f t="shared" si="34"/>
        <v>match</v>
      </c>
      <c r="X31" s="55" t="str">
        <f t="shared" si="35"/>
        <v>match</v>
      </c>
    </row>
    <row r="32" spans="1:25" x14ac:dyDescent="0.2">
      <c r="A32" s="56" t="s">
        <v>84</v>
      </c>
      <c r="B32" s="39" t="s">
        <v>20</v>
      </c>
      <c r="C32" s="39">
        <v>56</v>
      </c>
      <c r="D32" s="39">
        <v>41.5</v>
      </c>
      <c r="E32" s="39">
        <v>43.5</v>
      </c>
      <c r="F32" s="39">
        <v>40</v>
      </c>
      <c r="G32" s="2">
        <v>40</v>
      </c>
      <c r="H32" s="56"/>
      <c r="I32" s="56"/>
      <c r="J32" s="56" t="str">
        <f t="shared" si="22"/>
        <v>miss</v>
      </c>
      <c r="K32" s="56" t="str">
        <f t="shared" si="23"/>
        <v>miss</v>
      </c>
      <c r="L32" s="56" t="str">
        <f t="shared" si="24"/>
        <v>match</v>
      </c>
      <c r="M32" s="56" t="str">
        <f t="shared" si="25"/>
        <v>match</v>
      </c>
      <c r="N32" s="56" t="str">
        <f t="shared" si="26"/>
        <v>match</v>
      </c>
      <c r="O32" s="55"/>
      <c r="P32" s="55" t="str">
        <f t="shared" si="27"/>
        <v>match</v>
      </c>
      <c r="Q32" s="55" t="str">
        <f t="shared" si="28"/>
        <v>miss</v>
      </c>
      <c r="R32" s="55" t="str">
        <f t="shared" si="29"/>
        <v>match</v>
      </c>
      <c r="S32" s="55" t="str">
        <f t="shared" si="30"/>
        <v>miss</v>
      </c>
      <c r="T32" s="55" t="str">
        <f t="shared" si="31"/>
        <v>match</v>
      </c>
      <c r="U32" s="55" t="str">
        <f t="shared" si="32"/>
        <v>match</v>
      </c>
      <c r="V32" s="55" t="str">
        <f t="shared" si="33"/>
        <v>match</v>
      </c>
      <c r="W32" s="55" t="str">
        <f t="shared" si="34"/>
        <v>match</v>
      </c>
      <c r="X32" s="55" t="str">
        <f t="shared" si="35"/>
        <v>match</v>
      </c>
    </row>
    <row r="33" spans="1:24" x14ac:dyDescent="0.2">
      <c r="A33" s="56" t="s">
        <v>84</v>
      </c>
      <c r="B33" s="39" t="s">
        <v>21</v>
      </c>
      <c r="C33" s="39">
        <v>53</v>
      </c>
      <c r="D33" s="39">
        <v>45</v>
      </c>
      <c r="E33" s="39">
        <v>42</v>
      </c>
      <c r="F33" s="39">
        <v>44</v>
      </c>
      <c r="G33" s="2">
        <v>40.5</v>
      </c>
      <c r="H33" s="56"/>
      <c r="I33" s="56"/>
      <c r="J33" s="56" t="str">
        <f t="shared" si="22"/>
        <v>miss</v>
      </c>
      <c r="K33" s="56" t="str">
        <f t="shared" si="23"/>
        <v>miss</v>
      </c>
      <c r="L33" s="56" t="str">
        <f t="shared" si="24"/>
        <v>match</v>
      </c>
      <c r="M33" s="56" t="str">
        <f t="shared" si="25"/>
        <v>miss</v>
      </c>
      <c r="N33" s="56" t="str">
        <f t="shared" si="26"/>
        <v>match</v>
      </c>
      <c r="O33" s="55"/>
      <c r="P33" s="55" t="str">
        <f t="shared" si="27"/>
        <v>match</v>
      </c>
      <c r="Q33" s="55" t="str">
        <f t="shared" si="28"/>
        <v>miss</v>
      </c>
      <c r="R33" s="55" t="str">
        <f t="shared" si="29"/>
        <v>match</v>
      </c>
      <c r="S33" s="55" t="str">
        <f t="shared" si="30"/>
        <v>miss</v>
      </c>
      <c r="T33" s="55" t="str">
        <f t="shared" si="31"/>
        <v>match</v>
      </c>
      <c r="U33" s="55" t="str">
        <f t="shared" si="32"/>
        <v>match</v>
      </c>
      <c r="V33" s="55" t="str">
        <f t="shared" si="33"/>
        <v>match</v>
      </c>
      <c r="W33" s="55" t="str">
        <f t="shared" si="34"/>
        <v>miss</v>
      </c>
      <c r="X33" s="55" t="str">
        <f t="shared" si="35"/>
        <v>match</v>
      </c>
    </row>
    <row r="34" spans="1:24" x14ac:dyDescent="0.2">
      <c r="A34" s="56" t="s">
        <v>84</v>
      </c>
      <c r="B34" s="39" t="s">
        <v>22</v>
      </c>
      <c r="C34" s="39">
        <v>50.5</v>
      </c>
      <c r="D34" s="39">
        <v>40.5</v>
      </c>
      <c r="E34" s="39">
        <v>42</v>
      </c>
      <c r="F34" s="39">
        <v>39</v>
      </c>
      <c r="G34" s="2">
        <v>37</v>
      </c>
      <c r="H34" s="56"/>
      <c r="I34" s="56"/>
      <c r="J34" s="56" t="str">
        <f t="shared" si="22"/>
        <v>miss</v>
      </c>
      <c r="K34" s="56" t="str">
        <f t="shared" si="23"/>
        <v>miss</v>
      </c>
      <c r="L34" s="56" t="str">
        <f t="shared" si="24"/>
        <v>miss</v>
      </c>
      <c r="M34" s="56" t="str">
        <f t="shared" si="25"/>
        <v>miss</v>
      </c>
      <c r="N34" s="56" t="str">
        <f t="shared" si="26"/>
        <v>match</v>
      </c>
      <c r="O34" s="55"/>
      <c r="P34" s="55" t="str">
        <f t="shared" si="27"/>
        <v>match</v>
      </c>
      <c r="Q34" s="55" t="str">
        <f t="shared" si="28"/>
        <v>miss</v>
      </c>
      <c r="R34" s="55" t="str">
        <f t="shared" si="29"/>
        <v>match</v>
      </c>
      <c r="S34" s="55" t="str">
        <f t="shared" si="30"/>
        <v>miss</v>
      </c>
      <c r="T34" s="55" t="str">
        <f t="shared" si="31"/>
        <v>match</v>
      </c>
      <c r="U34" s="55" t="str">
        <f t="shared" si="32"/>
        <v>miss</v>
      </c>
      <c r="V34" s="55" t="str">
        <f t="shared" si="33"/>
        <v>match</v>
      </c>
      <c r="W34" s="55" t="str">
        <f t="shared" si="34"/>
        <v>miss</v>
      </c>
      <c r="X34" s="55" t="str">
        <f t="shared" si="35"/>
        <v>match</v>
      </c>
    </row>
    <row r="35" spans="1:24" x14ac:dyDescent="0.2">
      <c r="A35" s="56" t="s">
        <v>84</v>
      </c>
      <c r="B35" s="39" t="s">
        <v>23</v>
      </c>
      <c r="C35" s="39">
        <v>53.5</v>
      </c>
      <c r="D35" s="39">
        <v>36.5</v>
      </c>
      <c r="E35" s="39">
        <v>40.5</v>
      </c>
      <c r="F35" s="39">
        <v>44</v>
      </c>
      <c r="G35" s="2">
        <v>43.5</v>
      </c>
      <c r="H35" s="56"/>
      <c r="I35" s="56"/>
      <c r="J35" s="56" t="str">
        <f t="shared" si="22"/>
        <v>miss</v>
      </c>
      <c r="K35" s="56" t="str">
        <f t="shared" si="23"/>
        <v>miss</v>
      </c>
      <c r="L35" s="56" t="str">
        <f t="shared" si="24"/>
        <v>match</v>
      </c>
      <c r="M35" s="56" t="str">
        <f t="shared" si="25"/>
        <v>miss</v>
      </c>
      <c r="N35" s="56" t="str">
        <f t="shared" si="26"/>
        <v>match</v>
      </c>
      <c r="O35" s="55"/>
      <c r="P35" s="55" t="str">
        <f t="shared" si="27"/>
        <v>match</v>
      </c>
      <c r="Q35" s="55" t="str">
        <f t="shared" si="28"/>
        <v>miss</v>
      </c>
      <c r="R35" s="55" t="str">
        <f t="shared" si="29"/>
        <v>match</v>
      </c>
      <c r="S35" s="55" t="str">
        <f t="shared" si="30"/>
        <v>miss</v>
      </c>
      <c r="T35" s="55" t="str">
        <f t="shared" si="31"/>
        <v>match</v>
      </c>
      <c r="U35" s="55" t="str">
        <f t="shared" si="32"/>
        <v>match</v>
      </c>
      <c r="V35" s="55" t="str">
        <f t="shared" si="33"/>
        <v>match</v>
      </c>
      <c r="W35" s="55" t="str">
        <f t="shared" si="34"/>
        <v>miss</v>
      </c>
      <c r="X35" s="55" t="str">
        <f t="shared" si="35"/>
        <v>match</v>
      </c>
    </row>
    <row r="36" spans="1:24" x14ac:dyDescent="0.2">
      <c r="A36" s="56" t="s">
        <v>84</v>
      </c>
      <c r="B36" s="39" t="s">
        <v>25</v>
      </c>
      <c r="C36" s="39">
        <v>55</v>
      </c>
      <c r="D36" s="39">
        <v>44.5</v>
      </c>
      <c r="E36" s="39">
        <v>40.5</v>
      </c>
      <c r="F36" s="39">
        <v>39.5</v>
      </c>
      <c r="G36" s="2">
        <v>40.5</v>
      </c>
      <c r="H36" s="56"/>
      <c r="I36" s="56"/>
      <c r="J36" s="56" t="str">
        <f t="shared" si="22"/>
        <v>miss</v>
      </c>
      <c r="K36" s="56" t="str">
        <f t="shared" si="23"/>
        <v>miss</v>
      </c>
      <c r="L36" s="56" t="str">
        <f t="shared" si="24"/>
        <v>miss</v>
      </c>
      <c r="M36" s="56" t="str">
        <f t="shared" si="25"/>
        <v>match</v>
      </c>
      <c r="N36" s="56" t="str">
        <f t="shared" si="26"/>
        <v>match</v>
      </c>
      <c r="O36" s="55"/>
      <c r="P36" s="55" t="str">
        <f t="shared" si="27"/>
        <v>match</v>
      </c>
      <c r="Q36" s="55" t="str">
        <f t="shared" si="28"/>
        <v>miss</v>
      </c>
      <c r="R36" s="55" t="str">
        <f t="shared" si="29"/>
        <v>match</v>
      </c>
      <c r="S36" s="55" t="str">
        <f t="shared" si="30"/>
        <v>miss</v>
      </c>
      <c r="T36" s="55" t="str">
        <f t="shared" si="31"/>
        <v>match</v>
      </c>
      <c r="U36" s="55" t="str">
        <f t="shared" si="32"/>
        <v>miss</v>
      </c>
      <c r="V36" s="55" t="str">
        <f t="shared" si="33"/>
        <v>match</v>
      </c>
      <c r="W36" s="55" t="str">
        <f t="shared" si="34"/>
        <v>match</v>
      </c>
      <c r="X36" s="55" t="str">
        <f t="shared" si="35"/>
        <v>match</v>
      </c>
    </row>
    <row r="37" spans="1:24" x14ac:dyDescent="0.2">
      <c r="A37" s="56" t="s">
        <v>84</v>
      </c>
      <c r="B37" s="39" t="s">
        <v>26</v>
      </c>
      <c r="C37" s="39">
        <v>60</v>
      </c>
      <c r="D37" s="39">
        <v>48</v>
      </c>
      <c r="E37" s="39">
        <v>43</v>
      </c>
      <c r="F37" s="39">
        <v>46</v>
      </c>
      <c r="G37" s="2">
        <v>57.5</v>
      </c>
      <c r="H37" s="56"/>
      <c r="I37" s="56"/>
      <c r="J37" s="56" t="str">
        <f t="shared" si="22"/>
        <v>miss</v>
      </c>
      <c r="K37" s="56" t="str">
        <f t="shared" si="23"/>
        <v>miss</v>
      </c>
      <c r="L37" s="56" t="str">
        <f t="shared" si="24"/>
        <v>match</v>
      </c>
      <c r="M37" s="56" t="str">
        <f t="shared" si="25"/>
        <v>match</v>
      </c>
      <c r="N37" s="56" t="str">
        <f t="shared" si="26"/>
        <v>match</v>
      </c>
      <c r="O37" s="55"/>
      <c r="P37" s="55" t="str">
        <f t="shared" si="27"/>
        <v>match</v>
      </c>
      <c r="Q37" s="55" t="str">
        <f t="shared" si="28"/>
        <v>miss</v>
      </c>
      <c r="R37" s="55" t="str">
        <f t="shared" si="29"/>
        <v>match</v>
      </c>
      <c r="S37" s="55" t="str">
        <f t="shared" si="30"/>
        <v>miss</v>
      </c>
      <c r="T37" s="55" t="str">
        <f t="shared" si="31"/>
        <v>match</v>
      </c>
      <c r="U37" s="55" t="str">
        <f t="shared" si="32"/>
        <v>match</v>
      </c>
      <c r="V37" s="55" t="str">
        <f t="shared" si="33"/>
        <v>match</v>
      </c>
      <c r="W37" s="55" t="str">
        <f t="shared" si="34"/>
        <v>match</v>
      </c>
      <c r="X37" s="55" t="str">
        <f t="shared" si="35"/>
        <v>miss</v>
      </c>
    </row>
    <row r="38" spans="1:24" x14ac:dyDescent="0.2">
      <c r="A38" s="56" t="s">
        <v>84</v>
      </c>
      <c r="B38" s="39" t="s">
        <v>27</v>
      </c>
      <c r="C38" s="39">
        <v>56.5</v>
      </c>
      <c r="D38" s="39">
        <v>51</v>
      </c>
      <c r="E38" s="39">
        <v>47</v>
      </c>
      <c r="F38" s="39">
        <v>42</v>
      </c>
      <c r="G38" s="2">
        <v>53</v>
      </c>
      <c r="H38" s="56"/>
      <c r="I38" s="56"/>
      <c r="J38" s="56" t="str">
        <f t="shared" si="22"/>
        <v>miss</v>
      </c>
      <c r="K38" s="56" t="str">
        <f t="shared" si="23"/>
        <v>match</v>
      </c>
      <c r="L38" s="56" t="str">
        <f t="shared" si="24"/>
        <v>match</v>
      </c>
      <c r="M38" s="56" t="str">
        <f t="shared" si="25"/>
        <v>match</v>
      </c>
      <c r="N38" s="56" t="str">
        <f t="shared" si="26"/>
        <v>match</v>
      </c>
      <c r="O38" s="55"/>
      <c r="P38" s="55" t="str">
        <f t="shared" si="27"/>
        <v>match</v>
      </c>
      <c r="Q38" s="55" t="str">
        <f t="shared" si="28"/>
        <v>miss</v>
      </c>
      <c r="R38" s="55" t="str">
        <f t="shared" si="29"/>
        <v>match</v>
      </c>
      <c r="S38" s="55" t="str">
        <f t="shared" si="30"/>
        <v>match</v>
      </c>
      <c r="T38" s="55" t="str">
        <f t="shared" si="31"/>
        <v>match</v>
      </c>
      <c r="U38" s="55" t="str">
        <f t="shared" si="32"/>
        <v>match</v>
      </c>
      <c r="V38" s="55" t="str">
        <f t="shared" si="33"/>
        <v>match</v>
      </c>
      <c r="W38" s="55" t="str">
        <f t="shared" si="34"/>
        <v>match</v>
      </c>
      <c r="X38" s="55" t="str">
        <f t="shared" si="35"/>
        <v>miss</v>
      </c>
    </row>
    <row r="39" spans="1:24" x14ac:dyDescent="0.2">
      <c r="A39" s="56" t="s">
        <v>84</v>
      </c>
      <c r="B39" s="39" t="s">
        <v>28</v>
      </c>
      <c r="C39" s="39">
        <v>54.5</v>
      </c>
      <c r="D39" s="39">
        <v>47</v>
      </c>
      <c r="E39" s="39">
        <v>43</v>
      </c>
      <c r="F39" s="39">
        <v>38</v>
      </c>
      <c r="G39" s="2">
        <v>53</v>
      </c>
      <c r="H39" s="56"/>
      <c r="I39" s="56"/>
      <c r="J39" s="56" t="str">
        <f t="shared" si="22"/>
        <v>miss</v>
      </c>
      <c r="K39" s="56" t="str">
        <f t="shared" si="23"/>
        <v>miss</v>
      </c>
      <c r="L39" s="56" t="str">
        <f t="shared" si="24"/>
        <v>miss</v>
      </c>
      <c r="M39" s="56" t="str">
        <f t="shared" si="25"/>
        <v>match</v>
      </c>
      <c r="N39" s="56" t="str">
        <f t="shared" si="26"/>
        <v>match</v>
      </c>
      <c r="O39" s="55"/>
      <c r="P39" s="55" t="str">
        <f t="shared" si="27"/>
        <v>match</v>
      </c>
      <c r="Q39" s="55" t="str">
        <f t="shared" si="28"/>
        <v>miss</v>
      </c>
      <c r="R39" s="55" t="str">
        <f t="shared" si="29"/>
        <v>match</v>
      </c>
      <c r="S39" s="55" t="str">
        <f t="shared" si="30"/>
        <v>miss</v>
      </c>
      <c r="T39" s="55" t="str">
        <f t="shared" si="31"/>
        <v>match</v>
      </c>
      <c r="U39" s="55" t="str">
        <f t="shared" si="32"/>
        <v>miss</v>
      </c>
      <c r="V39" s="55" t="str">
        <f t="shared" si="33"/>
        <v>match</v>
      </c>
      <c r="W39" s="55" t="str">
        <f t="shared" si="34"/>
        <v>match</v>
      </c>
      <c r="X39" s="55" t="str">
        <f t="shared" si="35"/>
        <v>miss</v>
      </c>
    </row>
    <row r="40" spans="1:24" x14ac:dyDescent="0.2">
      <c r="A40" s="56" t="s">
        <v>84</v>
      </c>
      <c r="B40" s="39" t="s">
        <v>29</v>
      </c>
      <c r="C40" s="39">
        <v>54</v>
      </c>
      <c r="D40" s="39">
        <v>47</v>
      </c>
      <c r="E40" s="39">
        <v>43</v>
      </c>
      <c r="F40" s="39">
        <v>34</v>
      </c>
      <c r="G40" s="2">
        <v>52</v>
      </c>
      <c r="H40" s="56"/>
      <c r="I40" s="56"/>
      <c r="J40" s="56" t="str">
        <f t="shared" si="22"/>
        <v>miss</v>
      </c>
      <c r="K40" s="56" t="str">
        <f t="shared" si="23"/>
        <v>miss</v>
      </c>
      <c r="L40" s="56" t="str">
        <f t="shared" si="24"/>
        <v>miss</v>
      </c>
      <c r="M40" s="56" t="str">
        <f t="shared" si="25"/>
        <v>miss</v>
      </c>
      <c r="N40" s="56" t="str">
        <f t="shared" si="26"/>
        <v>match</v>
      </c>
      <c r="O40" s="55"/>
      <c r="P40" s="55" t="str">
        <f t="shared" si="27"/>
        <v>match</v>
      </c>
      <c r="Q40" s="55" t="str">
        <f t="shared" si="28"/>
        <v>miss</v>
      </c>
      <c r="R40" s="55" t="str">
        <f t="shared" si="29"/>
        <v>match</v>
      </c>
      <c r="S40" s="55" t="str">
        <f t="shared" si="30"/>
        <v>miss</v>
      </c>
      <c r="T40" s="55" t="str">
        <f t="shared" si="31"/>
        <v>match</v>
      </c>
      <c r="U40" s="55" t="str">
        <f t="shared" si="32"/>
        <v>miss</v>
      </c>
      <c r="V40" s="55" t="str">
        <f t="shared" si="33"/>
        <v>match</v>
      </c>
      <c r="W40" s="55" t="str">
        <f t="shared" si="34"/>
        <v>miss</v>
      </c>
      <c r="X40" s="55" t="str">
        <f t="shared" si="35"/>
        <v>match</v>
      </c>
    </row>
    <row r="41" spans="1:24" x14ac:dyDescent="0.2">
      <c r="A41" s="56" t="s">
        <v>84</v>
      </c>
      <c r="B41" s="39" t="s">
        <v>30</v>
      </c>
      <c r="C41" s="39">
        <v>50.5</v>
      </c>
      <c r="D41" s="39">
        <v>47.5</v>
      </c>
      <c r="E41" s="39">
        <v>42</v>
      </c>
      <c r="F41" s="39">
        <v>37.5</v>
      </c>
      <c r="G41" s="2">
        <v>51</v>
      </c>
      <c r="H41" s="56"/>
      <c r="I41" s="56"/>
      <c r="J41" s="56" t="str">
        <f t="shared" si="22"/>
        <v>miss</v>
      </c>
      <c r="K41" s="56" t="str">
        <f t="shared" si="23"/>
        <v>miss</v>
      </c>
      <c r="L41" s="56" t="str">
        <f t="shared" si="24"/>
        <v>miss</v>
      </c>
      <c r="M41" s="56" t="str">
        <f t="shared" si="25"/>
        <v>miss</v>
      </c>
      <c r="N41" s="56" t="str">
        <f t="shared" si="26"/>
        <v>match</v>
      </c>
      <c r="O41" s="55"/>
      <c r="P41" s="55" t="str">
        <f t="shared" si="27"/>
        <v>match</v>
      </c>
      <c r="Q41" s="55" t="str">
        <f t="shared" si="28"/>
        <v>miss</v>
      </c>
      <c r="R41" s="55" t="str">
        <f t="shared" si="29"/>
        <v>match</v>
      </c>
      <c r="S41" s="55" t="str">
        <f t="shared" si="30"/>
        <v>miss</v>
      </c>
      <c r="T41" s="55" t="str">
        <f t="shared" si="31"/>
        <v>match</v>
      </c>
      <c r="U41" s="55" t="str">
        <f t="shared" si="32"/>
        <v>miss</v>
      </c>
      <c r="V41" s="55" t="str">
        <f t="shared" si="33"/>
        <v>match</v>
      </c>
      <c r="W41" s="55" t="str">
        <f t="shared" si="34"/>
        <v>miss</v>
      </c>
      <c r="X41" s="55" t="str">
        <f t="shared" si="35"/>
        <v>match</v>
      </c>
    </row>
    <row r="42" spans="1:24" x14ac:dyDescent="0.2">
      <c r="A42" s="56"/>
      <c r="B42" s="40" t="s">
        <v>97</v>
      </c>
      <c r="C42" s="36">
        <f>MAX(C26:C41)*10</f>
        <v>650</v>
      </c>
      <c r="D42" s="36">
        <f t="shared" ref="D42:G42" si="36">MAX(D26:D41)*10</f>
        <v>510</v>
      </c>
      <c r="E42" s="36">
        <f t="shared" si="36"/>
        <v>495</v>
      </c>
      <c r="F42" s="36">
        <f t="shared" si="36"/>
        <v>460</v>
      </c>
      <c r="G42" s="36">
        <f t="shared" si="36"/>
        <v>600</v>
      </c>
      <c r="H42" s="56"/>
      <c r="I42" s="36" t="s">
        <v>117</v>
      </c>
      <c r="J42" s="44">
        <f>P42+Q42</f>
        <v>0.9375</v>
      </c>
      <c r="K42" s="44">
        <f>R42+S42</f>
        <v>0.75</v>
      </c>
      <c r="L42" s="44">
        <f>T42+U42</f>
        <v>0.4375</v>
      </c>
      <c r="M42" s="44">
        <f>V42+W42</f>
        <v>0.3125</v>
      </c>
      <c r="N42" s="44">
        <f>X42</f>
        <v>0.3125</v>
      </c>
      <c r="O42" s="55"/>
      <c r="P42" s="44">
        <f t="shared" ref="P42:X42" si="37">COUNTIF(P26:P41,"=miss")/16</f>
        <v>0</v>
      </c>
      <c r="Q42" s="44">
        <f t="shared" si="37"/>
        <v>0.9375</v>
      </c>
      <c r="R42" s="44">
        <f t="shared" si="37"/>
        <v>0</v>
      </c>
      <c r="S42" s="44">
        <f t="shared" si="37"/>
        <v>0.75</v>
      </c>
      <c r="T42" s="44">
        <f t="shared" si="37"/>
        <v>0</v>
      </c>
      <c r="U42" s="44">
        <f t="shared" si="37"/>
        <v>0.4375</v>
      </c>
      <c r="V42" s="44">
        <f t="shared" si="37"/>
        <v>0</v>
      </c>
      <c r="W42" s="44">
        <f t="shared" si="37"/>
        <v>0.3125</v>
      </c>
      <c r="X42" s="44">
        <f t="shared" si="37"/>
        <v>0.3125</v>
      </c>
    </row>
    <row r="43" spans="1:24" x14ac:dyDescent="0.2">
      <c r="A43" s="56"/>
      <c r="B43" s="40" t="s">
        <v>98</v>
      </c>
      <c r="C43" s="36">
        <f>MIN(C26:C41)*10</f>
        <v>505</v>
      </c>
      <c r="D43" s="36">
        <f t="shared" ref="D43:G43" si="38">MIN(D26:D41)*10</f>
        <v>365</v>
      </c>
      <c r="E43" s="36">
        <f t="shared" si="38"/>
        <v>405</v>
      </c>
      <c r="F43" s="36">
        <f t="shared" si="38"/>
        <v>340</v>
      </c>
      <c r="G43" s="36">
        <f t="shared" si="38"/>
        <v>370</v>
      </c>
      <c r="H43" s="56"/>
      <c r="I43" s="36"/>
      <c r="J43" s="44">
        <f>Mismatch!J42</f>
        <v>1</v>
      </c>
      <c r="K43" s="44">
        <f>Mismatch!K42</f>
        <v>0.875</v>
      </c>
      <c r="L43" s="44">
        <f>Mismatch!L42</f>
        <v>0.4375</v>
      </c>
      <c r="M43" s="44">
        <f>Mismatch!M42</f>
        <v>0.3125</v>
      </c>
      <c r="N43" s="44">
        <f>Mismatch!N42</f>
        <v>0.6875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24" x14ac:dyDescent="0.2">
      <c r="A44" s="56"/>
      <c r="B44" s="40" t="s">
        <v>99</v>
      </c>
      <c r="C44" s="57">
        <f>AVERAGE(C26:C41)*10</f>
        <v>559.0625</v>
      </c>
      <c r="D44" s="57">
        <f t="shared" ref="D44:G44" si="39">AVERAGE(D26:D41)*10</f>
        <v>458.125</v>
      </c>
      <c r="E44" s="57">
        <f t="shared" si="39"/>
        <v>435.3125</v>
      </c>
      <c r="F44" s="57">
        <f t="shared" si="39"/>
        <v>405</v>
      </c>
      <c r="G44" s="57">
        <f t="shared" si="39"/>
        <v>482.8125</v>
      </c>
      <c r="H44" s="56"/>
      <c r="I44" s="36" t="s">
        <v>118</v>
      </c>
      <c r="J44" s="44">
        <f>AVERAGE(J42,J19)</f>
        <v>0.875</v>
      </c>
      <c r="K44" s="44">
        <f>AVERAGE(K42,K19)</f>
        <v>0.78125</v>
      </c>
      <c r="L44" s="44">
        <f>AVERAGE(L42,L19)</f>
        <v>0.28125</v>
      </c>
      <c r="M44" s="44">
        <f>AVERAGE(M42,M19)</f>
        <v>0.15625</v>
      </c>
      <c r="N44" s="44">
        <f>AVERAGE(N42,N19)</f>
        <v>0.40625</v>
      </c>
      <c r="O44" s="55"/>
      <c r="P44" s="55"/>
      <c r="Q44" s="55"/>
      <c r="R44" s="55"/>
      <c r="S44" s="55"/>
      <c r="T44" s="55"/>
      <c r="U44" s="55"/>
      <c r="V44" s="55"/>
      <c r="W44" s="55"/>
      <c r="X44" s="55"/>
    </row>
    <row r="45" spans="1:24" x14ac:dyDescent="0.2">
      <c r="A45" s="56"/>
      <c r="B45" s="40" t="s">
        <v>100</v>
      </c>
      <c r="C45" s="57">
        <f>_xlfn.STDEV.S(C26:C41)*10</f>
        <v>38.175854061609854</v>
      </c>
      <c r="D45" s="57">
        <f t="shared" ref="D45:G45" si="40">_xlfn.STDEV.S(D26:D41)*10</f>
        <v>39.953097501945955</v>
      </c>
      <c r="E45" s="57">
        <f t="shared" si="40"/>
        <v>23.626873823395819</v>
      </c>
      <c r="F45" s="57">
        <f t="shared" si="40"/>
        <v>30.055504210266268</v>
      </c>
      <c r="G45" s="57">
        <f t="shared" si="40"/>
        <v>66.981807231516228</v>
      </c>
      <c r="H45" s="56"/>
      <c r="I45" s="56" t="s">
        <v>140</v>
      </c>
      <c r="J45" s="61">
        <f>Mismatch!J43</f>
        <v>1</v>
      </c>
      <c r="K45" s="61">
        <f>Mismatch!K43</f>
        <v>0.90625</v>
      </c>
      <c r="L45" s="61">
        <f>Mismatch!L43</f>
        <v>0.28125</v>
      </c>
      <c r="M45" s="61">
        <f>Mismatch!M43</f>
        <v>0.15625</v>
      </c>
      <c r="N45" s="61">
        <f>Mismatch!N43</f>
        <v>0.71875</v>
      </c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 spans="1:24" x14ac:dyDescent="0.2">
      <c r="A46" s="56"/>
      <c r="B46" s="40" t="s">
        <v>101</v>
      </c>
      <c r="C46" s="57">
        <f>_xlfn.PERCENTILE.INC(C26:C41,0.05)*10</f>
        <v>505</v>
      </c>
      <c r="D46" s="57">
        <f t="shared" ref="D46:G46" si="41">_xlfn.PERCENTILE.INC(D26:D41,0.05)*10</f>
        <v>395</v>
      </c>
      <c r="E46" s="57">
        <f t="shared" si="41"/>
        <v>405</v>
      </c>
      <c r="F46" s="57">
        <f t="shared" si="41"/>
        <v>366.25</v>
      </c>
      <c r="G46" s="57">
        <f t="shared" si="41"/>
        <v>392.5</v>
      </c>
      <c r="H46" s="56"/>
      <c r="I46" s="56"/>
      <c r="J46" s="61"/>
      <c r="K46" s="61"/>
      <c r="L46" s="61"/>
      <c r="M46" s="61"/>
      <c r="N46" s="61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x14ac:dyDescent="0.2">
      <c r="A47" s="56"/>
      <c r="B47" s="40" t="s">
        <v>102</v>
      </c>
      <c r="C47" s="57">
        <f>_xlfn.PERCENTILE.INC(C26:C41,0.5)*10</f>
        <v>550</v>
      </c>
      <c r="D47" s="57">
        <f t="shared" ref="D47:G47" si="42">_xlfn.PERCENTILE.INC(D26:D41,0.5)*10</f>
        <v>470</v>
      </c>
      <c r="E47" s="57">
        <f t="shared" si="42"/>
        <v>430</v>
      </c>
      <c r="F47" s="57">
        <f t="shared" si="42"/>
        <v>405</v>
      </c>
      <c r="G47" s="57">
        <f t="shared" si="42"/>
        <v>490</v>
      </c>
      <c r="H47" s="56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24" x14ac:dyDescent="0.2">
      <c r="A48" s="56"/>
      <c r="B48" s="40" t="s">
        <v>119</v>
      </c>
      <c r="C48" s="57">
        <f>_xlfn.PERCENTILE.INC(C26:C41,0.95)*10</f>
        <v>623.75</v>
      </c>
      <c r="D48" s="57">
        <f t="shared" ref="D48:G48" si="43">_xlfn.PERCENTILE.INC(D26:D41,0.95)*10</f>
        <v>506.25</v>
      </c>
      <c r="E48" s="57">
        <f t="shared" si="43"/>
        <v>476.25</v>
      </c>
      <c r="F48" s="57">
        <f t="shared" si="43"/>
        <v>445</v>
      </c>
      <c r="G48" s="57">
        <f t="shared" si="43"/>
        <v>581.25</v>
      </c>
      <c r="H48" s="56"/>
      <c r="I48" s="56"/>
      <c r="J48" s="56"/>
      <c r="K48" s="56"/>
      <c r="L48" s="56"/>
      <c r="M48" s="56"/>
      <c r="N48" s="56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 spans="1:24" x14ac:dyDescent="0.2">
      <c r="A49" s="55"/>
      <c r="B49" s="40"/>
      <c r="C49" s="36"/>
      <c r="D49" s="36"/>
      <c r="E49" s="36"/>
      <c r="F49" s="36"/>
      <c r="G49" s="36"/>
      <c r="H49" s="55"/>
      <c r="I49" s="56"/>
      <c r="J49" s="56"/>
      <c r="K49" s="56"/>
      <c r="L49" s="56"/>
      <c r="M49" s="56"/>
      <c r="N49" s="56"/>
      <c r="O49" s="55"/>
      <c r="P49" s="55"/>
      <c r="Q49" s="55"/>
      <c r="R49" s="55"/>
      <c r="S49" s="55"/>
      <c r="T49" s="55"/>
      <c r="U49" s="55"/>
      <c r="V49" s="55"/>
      <c r="W49" s="55"/>
      <c r="X49" s="55"/>
    </row>
    <row r="50" spans="1:24" x14ac:dyDescent="0.2">
      <c r="A50" s="55"/>
      <c r="B50" s="40"/>
      <c r="C50" s="36"/>
      <c r="D50" s="36"/>
      <c r="E50" s="36"/>
      <c r="F50" s="36"/>
      <c r="G50" s="36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 spans="1:24" x14ac:dyDescent="0.2">
      <c r="A51" s="55"/>
      <c r="B51" s="40"/>
      <c r="C51" s="57"/>
      <c r="D51" s="57"/>
      <c r="E51" s="57"/>
      <c r="F51" s="57"/>
      <c r="G51" s="57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 spans="1:24" x14ac:dyDescent="0.2">
      <c r="A52" s="55"/>
      <c r="B52" s="40"/>
      <c r="C52" s="57"/>
      <c r="D52" s="57"/>
      <c r="E52" s="57"/>
      <c r="F52" s="57"/>
      <c r="G52" s="57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 x14ac:dyDescent="0.2">
      <c r="A53" s="55"/>
      <c r="B53" s="40"/>
      <c r="C53" s="57"/>
      <c r="D53" s="57"/>
      <c r="E53" s="57"/>
      <c r="F53" s="57"/>
      <c r="G53" s="57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 spans="1:24" x14ac:dyDescent="0.2">
      <c r="A54" s="55"/>
      <c r="B54" s="40"/>
      <c r="C54" s="57"/>
      <c r="D54" s="57"/>
      <c r="E54" s="57"/>
      <c r="F54" s="57"/>
      <c r="G54" s="57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</row>
    <row r="55" spans="1:24" x14ac:dyDescent="0.2">
      <c r="A55" s="55"/>
      <c r="B55" s="40"/>
      <c r="C55" s="57"/>
      <c r="D55" s="57"/>
      <c r="E55" s="57"/>
      <c r="F55" s="57"/>
      <c r="G55" s="57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</row>
    <row r="56" spans="1:24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46"/>
      <c r="P56" s="65" t="s">
        <v>39</v>
      </c>
      <c r="Q56" s="65"/>
      <c r="R56" s="65" t="s">
        <v>41</v>
      </c>
      <c r="S56" s="65"/>
      <c r="T56" s="55"/>
      <c r="U56" s="55"/>
      <c r="V56" s="55"/>
      <c r="W56" s="55"/>
      <c r="X56" s="55"/>
    </row>
    <row r="57" spans="1:24" ht="49.5" customHeight="1" x14ac:dyDescent="0.2">
      <c r="A57" s="55"/>
      <c r="B57" s="55"/>
      <c r="C57" s="55"/>
      <c r="D57" s="55"/>
      <c r="E57" s="55"/>
      <c r="F57" s="55"/>
      <c r="G57" s="55"/>
      <c r="H57" s="55"/>
      <c r="I57" s="46" t="s">
        <v>95</v>
      </c>
      <c r="J57" s="65" t="s">
        <v>33</v>
      </c>
      <c r="K57" s="65"/>
      <c r="L57" s="65" t="s">
        <v>35</v>
      </c>
      <c r="M57" s="65"/>
      <c r="N57" s="46" t="s">
        <v>37</v>
      </c>
      <c r="O57" s="47"/>
      <c r="P57" s="63" t="s">
        <v>124</v>
      </c>
      <c r="Q57" s="63"/>
      <c r="R57" s="63" t="s">
        <v>137</v>
      </c>
      <c r="S57" s="63"/>
      <c r="T57" s="58"/>
      <c r="U57" s="55"/>
      <c r="V57" s="55"/>
      <c r="W57" s="55"/>
      <c r="X57" s="55"/>
    </row>
    <row r="58" spans="1:24" ht="63.75" x14ac:dyDescent="0.2">
      <c r="A58" s="55"/>
      <c r="B58" s="55"/>
      <c r="C58" s="55"/>
      <c r="D58" s="55"/>
      <c r="E58" s="55"/>
      <c r="F58" s="55"/>
      <c r="G58" s="55"/>
      <c r="H58" s="55"/>
      <c r="I58" s="63" t="s">
        <v>96</v>
      </c>
      <c r="J58" s="66" t="s">
        <v>121</v>
      </c>
      <c r="K58" s="66"/>
      <c r="L58" s="66" t="s">
        <v>122</v>
      </c>
      <c r="M58" s="66"/>
      <c r="N58" s="47" t="s">
        <v>123</v>
      </c>
      <c r="O58" s="59" t="s">
        <v>84</v>
      </c>
      <c r="P58" s="59" t="s">
        <v>120</v>
      </c>
      <c r="Q58" s="59" t="s">
        <v>84</v>
      </c>
      <c r="R58" s="59" t="s">
        <v>120</v>
      </c>
      <c r="S58" s="59" t="s">
        <v>84</v>
      </c>
      <c r="T58" s="55"/>
      <c r="U58" s="55"/>
      <c r="V58" s="55"/>
      <c r="W58" s="55"/>
      <c r="X58" s="55"/>
    </row>
    <row r="59" spans="1:24" x14ac:dyDescent="0.2">
      <c r="A59" s="55"/>
      <c r="B59" s="55"/>
      <c r="C59" s="55"/>
      <c r="D59" s="55"/>
      <c r="E59" s="55"/>
      <c r="F59" s="55"/>
      <c r="G59" s="55"/>
      <c r="H59" s="55"/>
      <c r="I59" s="63"/>
      <c r="J59" s="59" t="s">
        <v>83</v>
      </c>
      <c r="K59" s="59" t="s">
        <v>84</v>
      </c>
      <c r="L59" s="59" t="s">
        <v>83</v>
      </c>
      <c r="M59" s="59" t="s">
        <v>84</v>
      </c>
      <c r="N59" s="59" t="s">
        <v>83</v>
      </c>
      <c r="O59" s="60">
        <f t="shared" ref="O59:O65" si="44">E42</f>
        <v>495</v>
      </c>
      <c r="P59" s="60">
        <f>F19</f>
        <v>490</v>
      </c>
      <c r="Q59" s="60">
        <f t="shared" ref="Q59:Q65" si="45">F42</f>
        <v>460</v>
      </c>
      <c r="R59" s="60">
        <f>G19</f>
        <v>640</v>
      </c>
      <c r="S59" s="60">
        <f>G42</f>
        <v>600</v>
      </c>
      <c r="T59" s="55"/>
      <c r="U59" s="55"/>
      <c r="V59" s="55"/>
      <c r="W59" s="55"/>
      <c r="X59" s="55"/>
    </row>
    <row r="60" spans="1:24" x14ac:dyDescent="0.2">
      <c r="A60" s="55"/>
      <c r="B60" s="55"/>
      <c r="C60" s="55"/>
      <c r="D60" s="55"/>
      <c r="E60" s="55"/>
      <c r="F60" s="55"/>
      <c r="G60" s="55"/>
      <c r="H60" s="55"/>
      <c r="I60" s="40" t="s">
        <v>97</v>
      </c>
      <c r="J60" s="60">
        <f t="shared" ref="J60:J66" si="46">C19</f>
        <v>680</v>
      </c>
      <c r="K60" s="60">
        <f t="shared" ref="K60:K66" si="47">C42</f>
        <v>650</v>
      </c>
      <c r="L60" s="60">
        <f t="shared" ref="L60:L66" si="48">D19</f>
        <v>510</v>
      </c>
      <c r="M60" s="60">
        <f t="shared" ref="M60:M66" si="49">D42</f>
        <v>510</v>
      </c>
      <c r="N60" s="60">
        <f t="shared" ref="N60:N66" si="50">E19</f>
        <v>490</v>
      </c>
      <c r="O60" s="60">
        <f t="shared" si="44"/>
        <v>405</v>
      </c>
      <c r="P60" s="60">
        <f t="shared" ref="P60:P65" si="51">F20</f>
        <v>400</v>
      </c>
      <c r="Q60" s="60">
        <f t="shared" si="45"/>
        <v>340</v>
      </c>
      <c r="R60" s="60">
        <f t="shared" ref="R60:R65" si="52">G20</f>
        <v>390</v>
      </c>
      <c r="S60" s="60">
        <f t="shared" ref="S60:S65" si="53">G43</f>
        <v>370</v>
      </c>
      <c r="T60" s="55"/>
      <c r="U60" s="55"/>
      <c r="V60" s="55"/>
      <c r="W60" s="55"/>
      <c r="X60" s="55"/>
    </row>
    <row r="61" spans="1:24" x14ac:dyDescent="0.2">
      <c r="A61" s="55"/>
      <c r="B61" s="55"/>
      <c r="C61" s="55"/>
      <c r="D61" s="55"/>
      <c r="E61" s="55"/>
      <c r="F61" s="55"/>
      <c r="G61" s="55"/>
      <c r="H61" s="55"/>
      <c r="I61" s="40" t="s">
        <v>98</v>
      </c>
      <c r="J61" s="60">
        <f t="shared" si="46"/>
        <v>545</v>
      </c>
      <c r="K61" s="60">
        <f t="shared" si="47"/>
        <v>505</v>
      </c>
      <c r="L61" s="60">
        <f t="shared" si="48"/>
        <v>410</v>
      </c>
      <c r="M61" s="60">
        <f t="shared" si="49"/>
        <v>365</v>
      </c>
      <c r="N61" s="60">
        <f t="shared" si="50"/>
        <v>430</v>
      </c>
      <c r="O61" s="60">
        <f t="shared" si="44"/>
        <v>435.3125</v>
      </c>
      <c r="P61" s="60">
        <f t="shared" si="51"/>
        <v>437.5</v>
      </c>
      <c r="Q61" s="60">
        <f t="shared" si="45"/>
        <v>405</v>
      </c>
      <c r="R61" s="60">
        <f t="shared" si="52"/>
        <v>525</v>
      </c>
      <c r="S61" s="60">
        <f t="shared" si="53"/>
        <v>482.8125</v>
      </c>
      <c r="T61" s="55"/>
      <c r="U61" s="55"/>
      <c r="V61" s="55"/>
      <c r="W61" s="55"/>
      <c r="X61" s="55"/>
    </row>
    <row r="62" spans="1:24" x14ac:dyDescent="0.2">
      <c r="A62" s="55"/>
      <c r="B62" s="55"/>
      <c r="C62" s="55"/>
      <c r="D62" s="55"/>
      <c r="E62" s="55"/>
      <c r="F62" s="55"/>
      <c r="G62" s="55"/>
      <c r="H62" s="55"/>
      <c r="I62" s="40" t="s">
        <v>99</v>
      </c>
      <c r="J62" s="60">
        <f t="shared" si="46"/>
        <v>614.375</v>
      </c>
      <c r="K62" s="60">
        <f t="shared" si="47"/>
        <v>559.0625</v>
      </c>
      <c r="L62" s="60">
        <f t="shared" si="48"/>
        <v>459.0625</v>
      </c>
      <c r="M62" s="60">
        <f t="shared" si="49"/>
        <v>458.125</v>
      </c>
      <c r="N62" s="60">
        <f t="shared" si="50"/>
        <v>459.375</v>
      </c>
      <c r="O62" s="60">
        <f t="shared" si="44"/>
        <v>23.626873823395819</v>
      </c>
      <c r="P62" s="60">
        <f t="shared" si="51"/>
        <v>27.446918466985203</v>
      </c>
      <c r="Q62" s="60">
        <f t="shared" si="45"/>
        <v>30.055504210266268</v>
      </c>
      <c r="R62" s="60">
        <f t="shared" si="52"/>
        <v>73.416619371910613</v>
      </c>
      <c r="S62" s="60">
        <f t="shared" si="53"/>
        <v>66.981807231516228</v>
      </c>
      <c r="T62" s="55"/>
      <c r="U62" s="55"/>
      <c r="V62" s="55"/>
      <c r="W62" s="55"/>
      <c r="X62" s="55"/>
    </row>
    <row r="63" spans="1:24" x14ac:dyDescent="0.2">
      <c r="A63" s="55"/>
      <c r="B63" s="55"/>
      <c r="C63" s="55"/>
      <c r="D63" s="55"/>
      <c r="E63" s="55"/>
      <c r="F63" s="55"/>
      <c r="G63" s="55"/>
      <c r="H63" s="55"/>
      <c r="I63" s="40" t="s">
        <v>100</v>
      </c>
      <c r="J63" s="60">
        <f t="shared" si="46"/>
        <v>42.145581025773033</v>
      </c>
      <c r="K63" s="60">
        <f t="shared" si="47"/>
        <v>38.175854061609854</v>
      </c>
      <c r="L63" s="60">
        <f t="shared" si="48"/>
        <v>28.648371099709429</v>
      </c>
      <c r="M63" s="60">
        <f t="shared" si="49"/>
        <v>39.953097501945955</v>
      </c>
      <c r="N63" s="60">
        <f t="shared" si="50"/>
        <v>17.969882210706519</v>
      </c>
      <c r="O63" s="60">
        <f t="shared" si="44"/>
        <v>405</v>
      </c>
      <c r="P63" s="60">
        <f t="shared" si="51"/>
        <v>407.5</v>
      </c>
      <c r="Q63" s="60">
        <f t="shared" si="45"/>
        <v>366.25</v>
      </c>
      <c r="R63" s="60">
        <f t="shared" si="52"/>
        <v>420</v>
      </c>
      <c r="S63" s="60">
        <f t="shared" si="53"/>
        <v>392.5</v>
      </c>
      <c r="T63" s="55"/>
      <c r="U63" s="55"/>
      <c r="V63" s="55"/>
      <c r="W63" s="55"/>
      <c r="X63" s="55"/>
    </row>
    <row r="64" spans="1:24" x14ac:dyDescent="0.2">
      <c r="A64" s="55"/>
      <c r="B64" s="55"/>
      <c r="C64" s="55"/>
      <c r="D64" s="55"/>
      <c r="E64" s="55"/>
      <c r="F64" s="55"/>
      <c r="G64" s="55"/>
      <c r="H64" s="55"/>
      <c r="I64" s="40" t="s">
        <v>101</v>
      </c>
      <c r="J64" s="60">
        <f t="shared" si="46"/>
        <v>556.25</v>
      </c>
      <c r="K64" s="60">
        <f t="shared" si="47"/>
        <v>505</v>
      </c>
      <c r="L64" s="60">
        <f t="shared" si="48"/>
        <v>417.5</v>
      </c>
      <c r="M64" s="60">
        <f t="shared" si="49"/>
        <v>395</v>
      </c>
      <c r="N64" s="60">
        <f t="shared" si="50"/>
        <v>433.75</v>
      </c>
      <c r="O64" s="60">
        <f t="shared" si="44"/>
        <v>430</v>
      </c>
      <c r="P64" s="60">
        <f t="shared" si="51"/>
        <v>430</v>
      </c>
      <c r="Q64" s="60">
        <f t="shared" si="45"/>
        <v>405</v>
      </c>
      <c r="R64" s="60">
        <f t="shared" si="52"/>
        <v>527.5</v>
      </c>
      <c r="S64" s="60">
        <f t="shared" si="53"/>
        <v>490</v>
      </c>
      <c r="T64" s="55"/>
      <c r="U64" s="55"/>
      <c r="V64" s="55"/>
      <c r="W64" s="55"/>
      <c r="X64" s="55"/>
    </row>
    <row r="65" spans="1:26" x14ac:dyDescent="0.2">
      <c r="A65" s="55"/>
      <c r="B65" s="55"/>
      <c r="C65" s="55"/>
      <c r="D65" s="55"/>
      <c r="E65" s="55"/>
      <c r="F65" s="55"/>
      <c r="G65" s="55"/>
      <c r="H65" s="55"/>
      <c r="I65" s="40" t="s">
        <v>102</v>
      </c>
      <c r="J65" s="60">
        <f t="shared" si="46"/>
        <v>615</v>
      </c>
      <c r="K65" s="60">
        <f t="shared" si="47"/>
        <v>550</v>
      </c>
      <c r="L65" s="60">
        <f t="shared" si="48"/>
        <v>460</v>
      </c>
      <c r="M65" s="60">
        <f t="shared" si="49"/>
        <v>470</v>
      </c>
      <c r="N65" s="60">
        <f t="shared" si="50"/>
        <v>460</v>
      </c>
      <c r="O65" s="60">
        <f t="shared" si="44"/>
        <v>476.25</v>
      </c>
      <c r="P65" s="60">
        <f t="shared" si="51"/>
        <v>482.5</v>
      </c>
      <c r="Q65" s="60">
        <f t="shared" si="45"/>
        <v>445</v>
      </c>
      <c r="R65" s="60">
        <f t="shared" si="52"/>
        <v>640</v>
      </c>
      <c r="S65" s="60">
        <f t="shared" si="53"/>
        <v>581.25</v>
      </c>
      <c r="T65" s="55"/>
      <c r="U65" s="55"/>
      <c r="V65" s="55"/>
      <c r="W65" s="55"/>
      <c r="X65" s="55"/>
    </row>
    <row r="66" spans="1:26" x14ac:dyDescent="0.2">
      <c r="I66" s="40" t="s">
        <v>119</v>
      </c>
      <c r="J66" s="60">
        <f t="shared" si="46"/>
        <v>680</v>
      </c>
      <c r="K66" s="60">
        <f t="shared" si="47"/>
        <v>623.75</v>
      </c>
      <c r="L66" s="60">
        <f t="shared" si="48"/>
        <v>502.5</v>
      </c>
      <c r="M66" s="60">
        <f t="shared" si="49"/>
        <v>506.25</v>
      </c>
      <c r="N66" s="60">
        <f t="shared" si="50"/>
        <v>490</v>
      </c>
    </row>
    <row r="68" spans="1:26" s="50" customFormat="1" ht="63.75" customHeight="1" x14ac:dyDescent="0.2">
      <c r="H68" s="49" t="s">
        <v>125</v>
      </c>
      <c r="I68"/>
      <c r="J68"/>
      <c r="K68"/>
      <c r="L68"/>
      <c r="M68"/>
      <c r="N68"/>
    </row>
    <row r="69" spans="1:26" s="50" customFormat="1" ht="15" customHeight="1" x14ac:dyDescent="0.2">
      <c r="H69" s="64" t="s">
        <v>126</v>
      </c>
      <c r="I69" s="54" t="s">
        <v>135</v>
      </c>
      <c r="J69" s="54" t="s">
        <v>131</v>
      </c>
      <c r="K69" s="54" t="s">
        <v>132</v>
      </c>
      <c r="L69" s="54" t="s">
        <v>133</v>
      </c>
      <c r="M69" s="54" t="s">
        <v>134</v>
      </c>
      <c r="N69" s="50" t="s">
        <v>141</v>
      </c>
    </row>
    <row r="70" spans="1:26" s="50" customFormat="1" ht="15" customHeight="1" x14ac:dyDescent="0.2">
      <c r="H70" s="64"/>
      <c r="I70" s="50" t="s">
        <v>83</v>
      </c>
      <c r="J70" s="53">
        <f>1-M70</f>
        <v>0.1875</v>
      </c>
      <c r="K70" s="51">
        <f>P19</f>
        <v>0</v>
      </c>
      <c r="L70" s="51">
        <f>Q19</f>
        <v>0.8125</v>
      </c>
      <c r="M70" s="51">
        <f>K70+L70</f>
        <v>0.8125</v>
      </c>
      <c r="N70" s="51">
        <f>Mismatch!M69-'Usulan Perbaikan'!M70</f>
        <v>0.1875</v>
      </c>
    </row>
    <row r="71" spans="1:26" s="50" customFormat="1" ht="15" customHeight="1" x14ac:dyDescent="0.2">
      <c r="H71" s="64" t="s">
        <v>127</v>
      </c>
      <c r="I71" s="50" t="s">
        <v>84</v>
      </c>
      <c r="J71" s="53">
        <f t="shared" ref="J71:J79" si="54">1-M71</f>
        <v>6.25E-2</v>
      </c>
      <c r="K71" s="51">
        <f>P42</f>
        <v>0</v>
      </c>
      <c r="L71" s="51">
        <f>Q42</f>
        <v>0.9375</v>
      </c>
      <c r="M71" s="51">
        <f t="shared" ref="M71:M79" si="55">K71+L71</f>
        <v>0.9375</v>
      </c>
      <c r="N71" s="51">
        <f>Mismatch!M70-'Usulan Perbaikan'!M71</f>
        <v>6.25E-2</v>
      </c>
      <c r="Z71" s="2"/>
    </row>
    <row r="72" spans="1:26" s="50" customFormat="1" ht="15" customHeight="1" x14ac:dyDescent="0.2">
      <c r="H72" s="64"/>
      <c r="I72" s="50" t="s">
        <v>83</v>
      </c>
      <c r="J72" s="53">
        <f t="shared" si="54"/>
        <v>0.1875</v>
      </c>
      <c r="K72" s="51">
        <f>R19</f>
        <v>0</v>
      </c>
      <c r="L72" s="51">
        <f>S19</f>
        <v>0.8125</v>
      </c>
      <c r="M72" s="51">
        <f t="shared" si="55"/>
        <v>0.8125</v>
      </c>
      <c r="N72" s="51">
        <f>Mismatch!M71-'Usulan Perbaikan'!M72</f>
        <v>0.125</v>
      </c>
      <c r="Z72" s="2"/>
    </row>
    <row r="73" spans="1:26" s="50" customFormat="1" ht="15" customHeight="1" x14ac:dyDescent="0.2">
      <c r="H73" s="64" t="s">
        <v>128</v>
      </c>
      <c r="I73" s="50" t="s">
        <v>84</v>
      </c>
      <c r="J73" s="53">
        <f t="shared" si="54"/>
        <v>0.25</v>
      </c>
      <c r="K73" s="51">
        <f>R42</f>
        <v>0</v>
      </c>
      <c r="L73" s="51">
        <f>S42</f>
        <v>0.75</v>
      </c>
      <c r="M73" s="51">
        <f t="shared" si="55"/>
        <v>0.75</v>
      </c>
      <c r="N73" s="51">
        <f>Mismatch!M72-'Usulan Perbaikan'!M73</f>
        <v>0.125</v>
      </c>
      <c r="Z73" s="2"/>
    </row>
    <row r="74" spans="1:26" s="50" customFormat="1" ht="15" customHeight="1" x14ac:dyDescent="0.2">
      <c r="H74" s="64"/>
      <c r="I74" s="50" t="s">
        <v>83</v>
      </c>
      <c r="J74" s="53">
        <f t="shared" si="54"/>
        <v>0.875</v>
      </c>
      <c r="K74" s="51">
        <f>T19</f>
        <v>0.125</v>
      </c>
      <c r="L74" s="51">
        <f>U19</f>
        <v>0</v>
      </c>
      <c r="M74" s="51">
        <f t="shared" si="55"/>
        <v>0.125</v>
      </c>
      <c r="N74" s="51">
        <f>Mismatch!M73-'Usulan Perbaikan'!M74</f>
        <v>0</v>
      </c>
      <c r="Z74" s="2"/>
    </row>
    <row r="75" spans="1:26" s="50" customFormat="1" ht="15" customHeight="1" x14ac:dyDescent="0.2">
      <c r="H75" s="64" t="s">
        <v>130</v>
      </c>
      <c r="I75" s="50" t="s">
        <v>84</v>
      </c>
      <c r="J75" s="53">
        <f t="shared" si="54"/>
        <v>0.5625</v>
      </c>
      <c r="K75" s="51">
        <f>T42</f>
        <v>0</v>
      </c>
      <c r="L75" s="51">
        <f>U42</f>
        <v>0.4375</v>
      </c>
      <c r="M75" s="51">
        <f t="shared" si="55"/>
        <v>0.4375</v>
      </c>
      <c r="N75" s="51">
        <f>Mismatch!M74-'Usulan Perbaikan'!M75</f>
        <v>0</v>
      </c>
      <c r="Z75" s="2"/>
    </row>
    <row r="76" spans="1:26" s="50" customFormat="1" ht="15" customHeight="1" x14ac:dyDescent="0.2">
      <c r="H76" s="64"/>
      <c r="I76" s="50" t="s">
        <v>83</v>
      </c>
      <c r="J76" s="53">
        <f t="shared" si="54"/>
        <v>1</v>
      </c>
      <c r="K76" s="51">
        <f>V19</f>
        <v>0</v>
      </c>
      <c r="L76" s="51">
        <f>W19</f>
        <v>0</v>
      </c>
      <c r="M76" s="51">
        <f t="shared" si="55"/>
        <v>0</v>
      </c>
      <c r="N76" s="51">
        <f>Mismatch!M75-'Usulan Perbaikan'!M76</f>
        <v>0</v>
      </c>
      <c r="Z76" s="2"/>
    </row>
    <row r="77" spans="1:26" s="50" customFormat="1" ht="15" customHeight="1" x14ac:dyDescent="0.2">
      <c r="H77" s="64" t="s">
        <v>129</v>
      </c>
      <c r="I77" s="50" t="s">
        <v>84</v>
      </c>
      <c r="J77" s="53">
        <f t="shared" si="54"/>
        <v>0.6875</v>
      </c>
      <c r="K77" s="51">
        <f>V42</f>
        <v>0</v>
      </c>
      <c r="L77" s="51">
        <f>W42</f>
        <v>0.3125</v>
      </c>
      <c r="M77" s="51">
        <f t="shared" si="55"/>
        <v>0.3125</v>
      </c>
      <c r="N77" s="51">
        <f>Mismatch!M76-'Usulan Perbaikan'!M77</f>
        <v>0</v>
      </c>
      <c r="Z77" s="2"/>
    </row>
    <row r="78" spans="1:26" s="48" customFormat="1" ht="15" customHeight="1" x14ac:dyDescent="0.2">
      <c r="H78" s="64"/>
      <c r="I78" s="50" t="s">
        <v>83</v>
      </c>
      <c r="J78" s="53">
        <f t="shared" si="54"/>
        <v>0.5</v>
      </c>
      <c r="K78" s="51">
        <f>X19</f>
        <v>0.5</v>
      </c>
      <c r="L78" s="51">
        <f>W21</f>
        <v>0</v>
      </c>
      <c r="M78" s="51">
        <f t="shared" si="55"/>
        <v>0.5</v>
      </c>
      <c r="N78" s="51">
        <f>Mismatch!M77-'Usulan Perbaikan'!M78</f>
        <v>0.25</v>
      </c>
      <c r="Z78" s="2"/>
    </row>
    <row r="79" spans="1:26" x14ac:dyDescent="0.2">
      <c r="I79" s="50" t="s">
        <v>84</v>
      </c>
      <c r="J79" s="53">
        <f t="shared" si="54"/>
        <v>0.6875</v>
      </c>
      <c r="K79" s="52">
        <f>X42</f>
        <v>0.3125</v>
      </c>
      <c r="L79" s="51">
        <f>W44</f>
        <v>0</v>
      </c>
      <c r="M79" s="51">
        <f t="shared" si="55"/>
        <v>0.3125</v>
      </c>
      <c r="N79" s="51">
        <f>Mismatch!M78-'Usulan Perbaikan'!M79</f>
        <v>0.375</v>
      </c>
      <c r="Z79" s="2"/>
    </row>
    <row r="80" spans="1:26" x14ac:dyDescent="0.2">
      <c r="Z80" s="2"/>
    </row>
    <row r="81" spans="1:26" x14ac:dyDescent="0.2">
      <c r="Z81" s="2"/>
    </row>
    <row r="82" spans="1:26" x14ac:dyDescent="0.2">
      <c r="A82" s="36"/>
      <c r="B82" s="36" t="s">
        <v>95</v>
      </c>
      <c r="C82" s="36" t="s">
        <v>33</v>
      </c>
      <c r="D82" s="36" t="s">
        <v>35</v>
      </c>
      <c r="E82" s="36" t="s">
        <v>37</v>
      </c>
      <c r="F82" s="36" t="s">
        <v>39</v>
      </c>
      <c r="G82" s="36" t="s">
        <v>41</v>
      </c>
      <c r="Z82" s="2"/>
    </row>
    <row r="83" spans="1:26" ht="51" x14ac:dyDescent="0.2">
      <c r="A83" s="37" t="s">
        <v>115</v>
      </c>
      <c r="B83" s="37" t="s">
        <v>96</v>
      </c>
      <c r="C83" s="38" t="s">
        <v>42</v>
      </c>
      <c r="D83" s="38" t="s">
        <v>113</v>
      </c>
      <c r="E83" s="38" t="s">
        <v>114</v>
      </c>
      <c r="F83" s="37" t="s">
        <v>40</v>
      </c>
      <c r="G83" s="37" t="s">
        <v>38</v>
      </c>
      <c r="Z83" s="2"/>
    </row>
    <row r="84" spans="1:26" x14ac:dyDescent="0.2">
      <c r="A84" s="56" t="s">
        <v>83</v>
      </c>
      <c r="B84" s="39" t="s">
        <v>1</v>
      </c>
      <c r="C84" s="39">
        <f>C3*10</f>
        <v>640</v>
      </c>
      <c r="D84" s="39">
        <f t="shared" ref="D84:G84" si="56">D3*10</f>
        <v>460</v>
      </c>
      <c r="E84" s="39">
        <f t="shared" si="56"/>
        <v>460</v>
      </c>
      <c r="F84" s="39">
        <f t="shared" si="56"/>
        <v>420</v>
      </c>
      <c r="G84" s="39">
        <f t="shared" si="56"/>
        <v>570</v>
      </c>
      <c r="Z84" s="2"/>
    </row>
    <row r="85" spans="1:26" x14ac:dyDescent="0.2">
      <c r="A85" s="56" t="s">
        <v>83</v>
      </c>
      <c r="B85" s="39" t="s">
        <v>2</v>
      </c>
      <c r="C85" s="39">
        <f t="shared" ref="C85:G85" si="57">C4*10</f>
        <v>670</v>
      </c>
      <c r="D85" s="39">
        <f t="shared" si="57"/>
        <v>460</v>
      </c>
      <c r="E85" s="39">
        <f t="shared" si="57"/>
        <v>450</v>
      </c>
      <c r="F85" s="39">
        <f t="shared" si="57"/>
        <v>400</v>
      </c>
      <c r="G85" s="39">
        <f t="shared" si="57"/>
        <v>560</v>
      </c>
      <c r="Z85" s="2"/>
    </row>
    <row r="86" spans="1:26" x14ac:dyDescent="0.2">
      <c r="A86" s="56" t="s">
        <v>83</v>
      </c>
      <c r="B86" s="39" t="s">
        <v>6</v>
      </c>
      <c r="C86" s="39">
        <f t="shared" ref="C86:G86" si="58">C5*10</f>
        <v>680</v>
      </c>
      <c r="D86" s="39">
        <f t="shared" si="58"/>
        <v>500</v>
      </c>
      <c r="E86" s="39">
        <f t="shared" si="58"/>
        <v>490</v>
      </c>
      <c r="F86" s="39">
        <f t="shared" si="58"/>
        <v>420</v>
      </c>
      <c r="G86" s="39">
        <f t="shared" si="58"/>
        <v>640</v>
      </c>
      <c r="Z86" s="2"/>
    </row>
    <row r="87" spans="1:26" x14ac:dyDescent="0.2">
      <c r="A87" s="56" t="s">
        <v>83</v>
      </c>
      <c r="B87" s="39" t="s">
        <v>7</v>
      </c>
      <c r="C87" s="39">
        <f t="shared" ref="C87:G87" si="59">C6*10</f>
        <v>640</v>
      </c>
      <c r="D87" s="39">
        <f t="shared" si="59"/>
        <v>470</v>
      </c>
      <c r="E87" s="39">
        <f t="shared" si="59"/>
        <v>455</v>
      </c>
      <c r="F87" s="39">
        <f t="shared" si="59"/>
        <v>460</v>
      </c>
      <c r="G87" s="39">
        <f t="shared" si="59"/>
        <v>525</v>
      </c>
      <c r="Z87" s="2"/>
    </row>
    <row r="88" spans="1:26" x14ac:dyDescent="0.2">
      <c r="A88" s="56" t="s">
        <v>83</v>
      </c>
      <c r="B88" s="39" t="s">
        <v>8</v>
      </c>
      <c r="C88" s="39">
        <f t="shared" ref="C88:G88" si="60">C7*10</f>
        <v>630</v>
      </c>
      <c r="D88" s="39">
        <f t="shared" si="60"/>
        <v>420</v>
      </c>
      <c r="E88" s="39">
        <f t="shared" si="60"/>
        <v>450</v>
      </c>
      <c r="F88" s="39">
        <f t="shared" si="60"/>
        <v>410</v>
      </c>
      <c r="G88" s="39">
        <f t="shared" si="60"/>
        <v>530</v>
      </c>
      <c r="Z88" s="2"/>
    </row>
    <row r="89" spans="1:26" x14ac:dyDescent="0.2">
      <c r="A89" s="56" t="s">
        <v>83</v>
      </c>
      <c r="B89" s="39" t="s">
        <v>9</v>
      </c>
      <c r="C89" s="39">
        <f t="shared" ref="C89:G89" si="61">C8*10</f>
        <v>620</v>
      </c>
      <c r="D89" s="39">
        <f t="shared" si="61"/>
        <v>440</v>
      </c>
      <c r="E89" s="39">
        <f t="shared" si="61"/>
        <v>490</v>
      </c>
      <c r="F89" s="39">
        <f t="shared" si="61"/>
        <v>430</v>
      </c>
      <c r="G89" s="39">
        <f t="shared" si="61"/>
        <v>550</v>
      </c>
      <c r="Z89" s="2"/>
    </row>
    <row r="90" spans="1:26" x14ac:dyDescent="0.2">
      <c r="A90" s="56" t="s">
        <v>83</v>
      </c>
      <c r="B90" s="39" t="s">
        <v>10</v>
      </c>
      <c r="C90" s="39">
        <f t="shared" ref="C90:G90" si="62">C9*10</f>
        <v>630</v>
      </c>
      <c r="D90" s="39">
        <f t="shared" si="62"/>
        <v>490</v>
      </c>
      <c r="E90" s="39">
        <f t="shared" si="62"/>
        <v>460</v>
      </c>
      <c r="F90" s="39">
        <f t="shared" si="62"/>
        <v>490</v>
      </c>
      <c r="G90" s="39">
        <f t="shared" si="62"/>
        <v>430</v>
      </c>
      <c r="Z90" s="2"/>
    </row>
    <row r="91" spans="1:26" x14ac:dyDescent="0.2">
      <c r="A91" s="56" t="s">
        <v>83</v>
      </c>
      <c r="B91" s="39" t="s">
        <v>11</v>
      </c>
      <c r="C91" s="39">
        <f t="shared" ref="C91:G91" si="63">C10*10</f>
        <v>610</v>
      </c>
      <c r="D91" s="39">
        <f t="shared" si="63"/>
        <v>440</v>
      </c>
      <c r="E91" s="39">
        <f t="shared" si="63"/>
        <v>440</v>
      </c>
      <c r="F91" s="39">
        <f t="shared" si="63"/>
        <v>430</v>
      </c>
      <c r="G91" s="39">
        <f t="shared" si="63"/>
        <v>520</v>
      </c>
      <c r="Z91" s="2"/>
    </row>
    <row r="92" spans="1:26" x14ac:dyDescent="0.2">
      <c r="A92" s="56" t="s">
        <v>83</v>
      </c>
      <c r="B92" s="39" t="s">
        <v>12</v>
      </c>
      <c r="C92" s="39">
        <f t="shared" ref="C92:G92" si="64">C11*10</f>
        <v>570</v>
      </c>
      <c r="D92" s="39">
        <f t="shared" si="64"/>
        <v>450</v>
      </c>
      <c r="E92" s="39">
        <f t="shared" si="64"/>
        <v>460</v>
      </c>
      <c r="F92" s="39">
        <f t="shared" si="64"/>
        <v>410</v>
      </c>
      <c r="G92" s="39">
        <f t="shared" si="64"/>
        <v>440</v>
      </c>
      <c r="Z92" s="2"/>
    </row>
    <row r="93" spans="1:26" x14ac:dyDescent="0.2">
      <c r="A93" s="56" t="s">
        <v>83</v>
      </c>
      <c r="B93" s="39" t="s">
        <v>13</v>
      </c>
      <c r="C93" s="39">
        <f t="shared" ref="C93:G93" si="65">C12*10</f>
        <v>580</v>
      </c>
      <c r="D93" s="39">
        <f t="shared" si="65"/>
        <v>420</v>
      </c>
      <c r="E93" s="39">
        <f t="shared" si="65"/>
        <v>430</v>
      </c>
      <c r="F93" s="39">
        <f t="shared" si="65"/>
        <v>410</v>
      </c>
      <c r="G93" s="39">
        <f t="shared" si="65"/>
        <v>520</v>
      </c>
      <c r="Z93" s="2"/>
    </row>
    <row r="94" spans="1:26" x14ac:dyDescent="0.2">
      <c r="A94" s="56" t="s">
        <v>83</v>
      </c>
      <c r="B94" s="39" t="s">
        <v>15</v>
      </c>
      <c r="C94" s="39">
        <f t="shared" ref="C94:G94" si="66">C13*10</f>
        <v>590</v>
      </c>
      <c r="D94" s="39">
        <f t="shared" si="66"/>
        <v>470</v>
      </c>
      <c r="E94" s="39">
        <f t="shared" si="66"/>
        <v>460</v>
      </c>
      <c r="F94" s="39">
        <f t="shared" si="66"/>
        <v>460</v>
      </c>
      <c r="G94" s="39">
        <f t="shared" si="66"/>
        <v>640</v>
      </c>
      <c r="Z94" s="2"/>
    </row>
    <row r="95" spans="1:26" x14ac:dyDescent="0.2">
      <c r="A95" s="56" t="s">
        <v>83</v>
      </c>
      <c r="B95" s="39" t="s">
        <v>17</v>
      </c>
      <c r="C95" s="39">
        <f t="shared" ref="C95:G95" si="67">C14*10</f>
        <v>545</v>
      </c>
      <c r="D95" s="39">
        <f t="shared" si="67"/>
        <v>455</v>
      </c>
      <c r="E95" s="39">
        <f t="shared" si="67"/>
        <v>460</v>
      </c>
      <c r="F95" s="39">
        <f t="shared" si="67"/>
        <v>460</v>
      </c>
      <c r="G95" s="39">
        <f t="shared" si="67"/>
        <v>580</v>
      </c>
      <c r="Z95" s="2"/>
    </row>
    <row r="96" spans="1:26" x14ac:dyDescent="0.2">
      <c r="A96" s="56" t="s">
        <v>83</v>
      </c>
      <c r="B96" s="39" t="s">
        <v>19</v>
      </c>
      <c r="C96" s="39">
        <f t="shared" ref="C96:G96" si="68">C15*10</f>
        <v>575</v>
      </c>
      <c r="D96" s="39">
        <f t="shared" si="68"/>
        <v>410</v>
      </c>
      <c r="E96" s="39">
        <f t="shared" si="68"/>
        <v>435</v>
      </c>
      <c r="F96" s="39">
        <f t="shared" si="68"/>
        <v>440</v>
      </c>
      <c r="G96" s="39">
        <f t="shared" si="68"/>
        <v>430</v>
      </c>
      <c r="Z96" s="2"/>
    </row>
    <row r="97" spans="1:26" x14ac:dyDescent="0.2">
      <c r="A97" s="56" t="s">
        <v>83</v>
      </c>
      <c r="B97" s="39" t="s">
        <v>24</v>
      </c>
      <c r="C97" s="39">
        <f t="shared" ref="C97:G97" si="69">C16*10</f>
        <v>560</v>
      </c>
      <c r="D97" s="39">
        <f t="shared" si="69"/>
        <v>470</v>
      </c>
      <c r="E97" s="39">
        <f t="shared" si="69"/>
        <v>460</v>
      </c>
      <c r="F97" s="39">
        <f t="shared" si="69"/>
        <v>460</v>
      </c>
      <c r="G97" s="39">
        <f t="shared" si="69"/>
        <v>390</v>
      </c>
      <c r="Z97" s="2"/>
    </row>
    <row r="98" spans="1:26" x14ac:dyDescent="0.2">
      <c r="A98" s="56" t="s">
        <v>83</v>
      </c>
      <c r="B98" s="39" t="s">
        <v>31</v>
      </c>
      <c r="C98" s="39">
        <f t="shared" ref="C98:G98" si="70">C17*10</f>
        <v>680</v>
      </c>
      <c r="D98" s="39">
        <f t="shared" si="70"/>
        <v>510</v>
      </c>
      <c r="E98" s="39">
        <f t="shared" si="70"/>
        <v>490</v>
      </c>
      <c r="F98" s="39">
        <f t="shared" si="70"/>
        <v>480</v>
      </c>
      <c r="G98" s="39">
        <f t="shared" si="70"/>
        <v>580</v>
      </c>
      <c r="Z98" s="2"/>
    </row>
    <row r="99" spans="1:26" x14ac:dyDescent="0.2">
      <c r="A99" s="56" t="s">
        <v>83</v>
      </c>
      <c r="B99" s="39" t="s">
        <v>32</v>
      </c>
      <c r="C99" s="39">
        <f t="shared" ref="C99:G99" si="71">C18*10</f>
        <v>610</v>
      </c>
      <c r="D99" s="39">
        <f t="shared" si="71"/>
        <v>480</v>
      </c>
      <c r="E99" s="39">
        <f t="shared" si="71"/>
        <v>460</v>
      </c>
      <c r="F99" s="39">
        <f t="shared" si="71"/>
        <v>420</v>
      </c>
      <c r="G99" s="39">
        <f t="shared" si="71"/>
        <v>495</v>
      </c>
      <c r="Z99" s="2"/>
    </row>
    <row r="100" spans="1:26" x14ac:dyDescent="0.2">
      <c r="A100" s="56" t="s">
        <v>84</v>
      </c>
      <c r="B100" s="39" t="s">
        <v>3</v>
      </c>
      <c r="C100" s="39">
        <f>C26*10</f>
        <v>550</v>
      </c>
      <c r="D100" s="39">
        <f t="shared" ref="D100:G100" si="72">D26*10</f>
        <v>415</v>
      </c>
      <c r="E100" s="39">
        <f t="shared" si="72"/>
        <v>430</v>
      </c>
      <c r="F100" s="39">
        <f t="shared" si="72"/>
        <v>390</v>
      </c>
      <c r="G100" s="39">
        <f t="shared" si="72"/>
        <v>480</v>
      </c>
    </row>
    <row r="101" spans="1:26" x14ac:dyDescent="0.2">
      <c r="A101" s="56" t="s">
        <v>84</v>
      </c>
      <c r="B101" s="39" t="s">
        <v>4</v>
      </c>
      <c r="C101" s="39">
        <f t="shared" ref="C101:G101" si="73">C27*10</f>
        <v>545</v>
      </c>
      <c r="D101" s="39">
        <f t="shared" si="73"/>
        <v>465</v>
      </c>
      <c r="E101" s="39">
        <f t="shared" si="73"/>
        <v>440</v>
      </c>
      <c r="F101" s="39">
        <f t="shared" si="73"/>
        <v>420</v>
      </c>
      <c r="G101" s="39">
        <f t="shared" si="73"/>
        <v>470</v>
      </c>
    </row>
    <row r="102" spans="1:26" x14ac:dyDescent="0.2">
      <c r="A102" s="56" t="s">
        <v>84</v>
      </c>
      <c r="B102" s="39" t="s">
        <v>5</v>
      </c>
      <c r="C102" s="39">
        <f t="shared" ref="C102:G102" si="74">C28*10</f>
        <v>570</v>
      </c>
      <c r="D102" s="39">
        <f t="shared" si="74"/>
        <v>480</v>
      </c>
      <c r="E102" s="39">
        <f t="shared" si="74"/>
        <v>425</v>
      </c>
      <c r="F102" s="39">
        <f t="shared" si="74"/>
        <v>430</v>
      </c>
      <c r="G102" s="39">
        <f t="shared" si="74"/>
        <v>540</v>
      </c>
    </row>
    <row r="103" spans="1:26" x14ac:dyDescent="0.2">
      <c r="A103" s="56" t="s">
        <v>84</v>
      </c>
      <c r="B103" s="39" t="s">
        <v>14</v>
      </c>
      <c r="C103" s="39">
        <f t="shared" ref="C103:G103" si="75">C29*10</f>
        <v>615</v>
      </c>
      <c r="D103" s="39">
        <f t="shared" si="75"/>
        <v>490</v>
      </c>
      <c r="E103" s="39">
        <f t="shared" si="75"/>
        <v>450</v>
      </c>
      <c r="F103" s="39">
        <f t="shared" si="75"/>
        <v>410</v>
      </c>
      <c r="G103" s="39">
        <f t="shared" si="75"/>
        <v>500</v>
      </c>
    </row>
    <row r="104" spans="1:26" x14ac:dyDescent="0.2">
      <c r="A104" s="56" t="s">
        <v>84</v>
      </c>
      <c r="B104" s="39" t="s">
        <v>16</v>
      </c>
      <c r="C104" s="39">
        <f t="shared" ref="C104:G104" si="76">C30*10</f>
        <v>580</v>
      </c>
      <c r="D104" s="39">
        <f t="shared" si="76"/>
        <v>490</v>
      </c>
      <c r="E104" s="39">
        <f t="shared" si="76"/>
        <v>460</v>
      </c>
      <c r="F104" s="39">
        <f t="shared" si="76"/>
        <v>380</v>
      </c>
      <c r="G104" s="39">
        <f t="shared" si="76"/>
        <v>600</v>
      </c>
    </row>
    <row r="105" spans="1:26" x14ac:dyDescent="0.2">
      <c r="A105" s="56" t="s">
        <v>84</v>
      </c>
      <c r="B105" s="39" t="s">
        <v>18</v>
      </c>
      <c r="C105" s="39">
        <f t="shared" ref="C105:G105" si="77">C31*10</f>
        <v>650</v>
      </c>
      <c r="D105" s="39">
        <f t="shared" si="77"/>
        <v>505</v>
      </c>
      <c r="E105" s="39">
        <f t="shared" si="77"/>
        <v>495</v>
      </c>
      <c r="F105" s="39">
        <f t="shared" si="77"/>
        <v>410</v>
      </c>
      <c r="G105" s="39">
        <f t="shared" si="77"/>
        <v>455</v>
      </c>
    </row>
    <row r="106" spans="1:26" x14ac:dyDescent="0.2">
      <c r="A106" s="56" t="s">
        <v>84</v>
      </c>
      <c r="B106" s="39" t="s">
        <v>20</v>
      </c>
      <c r="C106" s="39">
        <f t="shared" ref="C106:G106" si="78">C32*10</f>
        <v>560</v>
      </c>
      <c r="D106" s="39">
        <f t="shared" si="78"/>
        <v>415</v>
      </c>
      <c r="E106" s="39">
        <f t="shared" si="78"/>
        <v>435</v>
      </c>
      <c r="F106" s="39">
        <f t="shared" si="78"/>
        <v>400</v>
      </c>
      <c r="G106" s="39">
        <f t="shared" si="78"/>
        <v>400</v>
      </c>
    </row>
    <row r="107" spans="1:26" x14ac:dyDescent="0.2">
      <c r="A107" s="56" t="s">
        <v>84</v>
      </c>
      <c r="B107" s="39" t="s">
        <v>21</v>
      </c>
      <c r="C107" s="39">
        <f t="shared" ref="C107:G107" si="79">C33*10</f>
        <v>530</v>
      </c>
      <c r="D107" s="39">
        <f t="shared" si="79"/>
        <v>450</v>
      </c>
      <c r="E107" s="39">
        <f t="shared" si="79"/>
        <v>420</v>
      </c>
      <c r="F107" s="39">
        <f t="shared" si="79"/>
        <v>440</v>
      </c>
      <c r="G107" s="39">
        <f t="shared" si="79"/>
        <v>405</v>
      </c>
    </row>
    <row r="108" spans="1:26" x14ac:dyDescent="0.2">
      <c r="A108" s="56" t="s">
        <v>84</v>
      </c>
      <c r="B108" s="39" t="s">
        <v>22</v>
      </c>
      <c r="C108" s="39">
        <f t="shared" ref="C108:G108" si="80">C34*10</f>
        <v>505</v>
      </c>
      <c r="D108" s="39">
        <f t="shared" si="80"/>
        <v>405</v>
      </c>
      <c r="E108" s="39">
        <f t="shared" si="80"/>
        <v>420</v>
      </c>
      <c r="F108" s="39">
        <f t="shared" si="80"/>
        <v>390</v>
      </c>
      <c r="G108" s="39">
        <f t="shared" si="80"/>
        <v>370</v>
      </c>
    </row>
    <row r="109" spans="1:26" x14ac:dyDescent="0.2">
      <c r="A109" s="56" t="s">
        <v>84</v>
      </c>
      <c r="B109" s="39" t="s">
        <v>23</v>
      </c>
      <c r="C109" s="39">
        <f t="shared" ref="C109:G109" si="81">C35*10</f>
        <v>535</v>
      </c>
      <c r="D109" s="39">
        <f t="shared" si="81"/>
        <v>365</v>
      </c>
      <c r="E109" s="39">
        <f t="shared" si="81"/>
        <v>405</v>
      </c>
      <c r="F109" s="39">
        <f t="shared" si="81"/>
        <v>440</v>
      </c>
      <c r="G109" s="39">
        <f t="shared" si="81"/>
        <v>435</v>
      </c>
    </row>
    <row r="110" spans="1:26" x14ac:dyDescent="0.2">
      <c r="A110" s="56" t="s">
        <v>84</v>
      </c>
      <c r="B110" s="39" t="s">
        <v>25</v>
      </c>
      <c r="C110" s="39">
        <f t="shared" ref="C110:G110" si="82">C36*10</f>
        <v>550</v>
      </c>
      <c r="D110" s="39">
        <f t="shared" si="82"/>
        <v>445</v>
      </c>
      <c r="E110" s="39">
        <f t="shared" si="82"/>
        <v>405</v>
      </c>
      <c r="F110" s="39">
        <f t="shared" si="82"/>
        <v>395</v>
      </c>
      <c r="G110" s="39">
        <f t="shared" si="82"/>
        <v>405</v>
      </c>
    </row>
    <row r="111" spans="1:26" x14ac:dyDescent="0.2">
      <c r="A111" s="56" t="s">
        <v>84</v>
      </c>
      <c r="B111" s="39" t="s">
        <v>26</v>
      </c>
      <c r="C111" s="39">
        <f t="shared" ref="C111:G111" si="83">C37*10</f>
        <v>600</v>
      </c>
      <c r="D111" s="39">
        <f t="shared" si="83"/>
        <v>480</v>
      </c>
      <c r="E111" s="39">
        <f t="shared" si="83"/>
        <v>430</v>
      </c>
      <c r="F111" s="39">
        <f t="shared" si="83"/>
        <v>460</v>
      </c>
      <c r="G111" s="39">
        <f t="shared" si="83"/>
        <v>575</v>
      </c>
    </row>
    <row r="112" spans="1:26" x14ac:dyDescent="0.2">
      <c r="A112" s="56" t="s">
        <v>84</v>
      </c>
      <c r="B112" s="39" t="s">
        <v>27</v>
      </c>
      <c r="C112" s="39">
        <f t="shared" ref="C112:G112" si="84">C38*10</f>
        <v>565</v>
      </c>
      <c r="D112" s="39">
        <f t="shared" si="84"/>
        <v>510</v>
      </c>
      <c r="E112" s="39">
        <f t="shared" si="84"/>
        <v>470</v>
      </c>
      <c r="F112" s="39">
        <f t="shared" si="84"/>
        <v>420</v>
      </c>
      <c r="G112" s="39">
        <f t="shared" si="84"/>
        <v>530</v>
      </c>
    </row>
    <row r="113" spans="1:7" x14ac:dyDescent="0.2">
      <c r="A113" s="56" t="s">
        <v>84</v>
      </c>
      <c r="B113" s="39" t="s">
        <v>28</v>
      </c>
      <c r="C113" s="39">
        <f t="shared" ref="C113:G113" si="85">C39*10</f>
        <v>545</v>
      </c>
      <c r="D113" s="39">
        <f t="shared" si="85"/>
        <v>470</v>
      </c>
      <c r="E113" s="39">
        <f t="shared" si="85"/>
        <v>430</v>
      </c>
      <c r="F113" s="39">
        <f t="shared" si="85"/>
        <v>380</v>
      </c>
      <c r="G113" s="39">
        <f t="shared" si="85"/>
        <v>530</v>
      </c>
    </row>
    <row r="114" spans="1:7" x14ac:dyDescent="0.2">
      <c r="A114" s="56" t="s">
        <v>84</v>
      </c>
      <c r="B114" s="39" t="s">
        <v>29</v>
      </c>
      <c r="C114" s="39">
        <f t="shared" ref="C114:G114" si="86">C40*10</f>
        <v>540</v>
      </c>
      <c r="D114" s="39">
        <f t="shared" si="86"/>
        <v>470</v>
      </c>
      <c r="E114" s="39">
        <f t="shared" si="86"/>
        <v>430</v>
      </c>
      <c r="F114" s="39">
        <f t="shared" si="86"/>
        <v>340</v>
      </c>
      <c r="G114" s="39">
        <f t="shared" si="86"/>
        <v>520</v>
      </c>
    </row>
    <row r="115" spans="1:7" x14ac:dyDescent="0.2">
      <c r="A115" s="56" t="s">
        <v>84</v>
      </c>
      <c r="B115" s="39" t="s">
        <v>30</v>
      </c>
      <c r="C115" s="39">
        <f t="shared" ref="C115:G115" si="87">C41*10</f>
        <v>505</v>
      </c>
      <c r="D115" s="39">
        <f t="shared" si="87"/>
        <v>475</v>
      </c>
      <c r="E115" s="39">
        <f t="shared" si="87"/>
        <v>420</v>
      </c>
      <c r="F115" s="39">
        <f t="shared" si="87"/>
        <v>375</v>
      </c>
      <c r="G115" s="39">
        <f t="shared" si="87"/>
        <v>510</v>
      </c>
    </row>
  </sheetData>
  <autoFilter ref="A2:F2" xr:uid="{C384123D-7042-496C-B421-62FA550CFB70}">
    <sortState xmlns:xlrd2="http://schemas.microsoft.com/office/spreadsheetml/2017/richdata2" ref="A3:F41">
      <sortCondition ref="A2"/>
    </sortState>
  </autoFilter>
  <mergeCells count="14">
    <mergeCell ref="R56:S56"/>
    <mergeCell ref="I58:I59"/>
    <mergeCell ref="J58:K58"/>
    <mergeCell ref="L58:M58"/>
    <mergeCell ref="P57:Q57"/>
    <mergeCell ref="H77:H78"/>
    <mergeCell ref="J57:K57"/>
    <mergeCell ref="L57:M57"/>
    <mergeCell ref="P56:Q56"/>
    <mergeCell ref="R57:S57"/>
    <mergeCell ref="H69:H70"/>
    <mergeCell ref="H71:H72"/>
    <mergeCell ref="H73:H74"/>
    <mergeCell ref="H75:H7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123D-7042-496C-B421-62FA550CFB70}">
  <dimension ref="A1:Z102"/>
  <sheetViews>
    <sheetView topLeftCell="C1" zoomScaleNormal="100" workbookViewId="0">
      <selection activeCell="I5" sqref="I5:I6"/>
    </sheetView>
  </sheetViews>
  <sheetFormatPr defaultRowHeight="12.75" x14ac:dyDescent="0.2"/>
  <cols>
    <col min="2" max="2" width="16" bestFit="1" customWidth="1"/>
    <col min="3" max="7" width="7.7109375" customWidth="1"/>
    <col min="8" max="8" width="20" customWidth="1"/>
    <col min="9" max="9" width="10.5703125" customWidth="1"/>
    <col min="10" max="10" width="8.28515625" customWidth="1"/>
    <col min="11" max="24" width="5.7109375" customWidth="1"/>
  </cols>
  <sheetData>
    <row r="1" spans="1:24" ht="25.5" x14ac:dyDescent="0.2">
      <c r="A1" s="36"/>
      <c r="B1" s="36" t="s">
        <v>95</v>
      </c>
      <c r="C1" s="36" t="s">
        <v>33</v>
      </c>
      <c r="D1" s="36" t="s">
        <v>35</v>
      </c>
      <c r="E1" s="36" t="s">
        <v>37</v>
      </c>
      <c r="F1" s="36" t="s">
        <v>39</v>
      </c>
      <c r="G1" s="36" t="s">
        <v>41</v>
      </c>
      <c r="H1" s="36"/>
      <c r="I1" s="36"/>
      <c r="J1" s="55"/>
      <c r="K1" s="55"/>
      <c r="L1" s="55"/>
      <c r="M1" s="55"/>
      <c r="N1" s="55"/>
      <c r="O1" s="55"/>
      <c r="P1" s="37" t="s">
        <v>110</v>
      </c>
      <c r="Q1" s="37"/>
      <c r="R1" s="37" t="s">
        <v>111</v>
      </c>
      <c r="S1" s="37"/>
      <c r="T1" s="37" t="s">
        <v>112</v>
      </c>
      <c r="U1" s="37"/>
      <c r="V1" s="37" t="s">
        <v>109</v>
      </c>
      <c r="W1" s="37"/>
      <c r="X1" s="37" t="s">
        <v>136</v>
      </c>
    </row>
    <row r="2" spans="1:24" ht="51" x14ac:dyDescent="0.2">
      <c r="A2" s="37" t="s">
        <v>115</v>
      </c>
      <c r="B2" s="37" t="s">
        <v>96</v>
      </c>
      <c r="C2" s="38" t="s">
        <v>42</v>
      </c>
      <c r="D2" s="38" t="s">
        <v>113</v>
      </c>
      <c r="E2" s="38" t="s">
        <v>114</v>
      </c>
      <c r="F2" s="37" t="s">
        <v>40</v>
      </c>
      <c r="G2" s="37" t="s">
        <v>38</v>
      </c>
      <c r="H2" s="38" t="s">
        <v>96</v>
      </c>
      <c r="I2" s="41" t="s">
        <v>103</v>
      </c>
      <c r="J2" s="37" t="s">
        <v>110</v>
      </c>
      <c r="K2" s="37" t="s">
        <v>111</v>
      </c>
      <c r="L2" s="37" t="s">
        <v>112</v>
      </c>
      <c r="M2" s="37" t="s">
        <v>109</v>
      </c>
      <c r="N2" s="37" t="s">
        <v>136</v>
      </c>
      <c r="O2" s="55"/>
      <c r="P2" s="37" t="s">
        <v>138</v>
      </c>
      <c r="Q2" s="37" t="s">
        <v>139</v>
      </c>
      <c r="R2" s="37" t="s">
        <v>138</v>
      </c>
      <c r="S2" s="37" t="s">
        <v>139</v>
      </c>
      <c r="T2" s="37" t="s">
        <v>138</v>
      </c>
      <c r="U2" s="37" t="s">
        <v>139</v>
      </c>
      <c r="V2" s="37" t="s">
        <v>138</v>
      </c>
      <c r="W2" s="37" t="s">
        <v>139</v>
      </c>
      <c r="X2" s="37" t="s">
        <v>138</v>
      </c>
    </row>
    <row r="3" spans="1:24" x14ac:dyDescent="0.2">
      <c r="A3" s="56" t="s">
        <v>83</v>
      </c>
      <c r="B3" s="39" t="s">
        <v>1</v>
      </c>
      <c r="C3" s="39">
        <v>64</v>
      </c>
      <c r="D3" s="39">
        <v>46</v>
      </c>
      <c r="E3" s="39">
        <v>46</v>
      </c>
      <c r="F3" s="39">
        <v>42</v>
      </c>
      <c r="G3" s="39">
        <v>57</v>
      </c>
      <c r="H3" s="42" t="s">
        <v>104</v>
      </c>
      <c r="I3" s="43">
        <v>480</v>
      </c>
      <c r="J3" s="56" t="str">
        <f t="shared" ref="J3:J18" si="0">IF(OR($I$3&lt;=0.88*E3*10,$I$3&gt;=0.95*10*E3),"miss","match")</f>
        <v>miss</v>
      </c>
      <c r="K3" s="56" t="str">
        <f t="shared" ref="K3:K18" si="1">IF(OR($I$4&lt;=0.8*D3*10,$I$4&gt;=0.95*10*D3),"miss","match")</f>
        <v>miss</v>
      </c>
      <c r="L3" s="56" t="str">
        <f t="shared" ref="L3:L18" si="2">IF(OR($I$5&lt;=1.1*F3*10,$I$5&gt;=1.3*10*F3),"miss","match")</f>
        <v>match</v>
      </c>
      <c r="M3" s="56" t="str">
        <f t="shared" ref="M3:M18" si="3">IF(OR($I$6&lt;=0.6*C3*10,$I$6&gt;=0.8*10*C3),"miss","match")</f>
        <v>match</v>
      </c>
      <c r="N3" s="56" t="str">
        <f t="shared" ref="N3:N18" si="4">IF($I$7&lt;F3*10,"miss","match")</f>
        <v>match</v>
      </c>
      <c r="O3" s="55"/>
      <c r="P3" s="55" t="str">
        <f t="shared" ref="P3:P18" si="5">IF($I$3&lt;=0.8*10*E3,"miss","match")</f>
        <v>match</v>
      </c>
      <c r="Q3" s="55" t="str">
        <f t="shared" ref="Q3:Q18" si="6">IF($I$3&gt;=9.5*E3,"miss","match")</f>
        <v>miss</v>
      </c>
      <c r="R3" s="55" t="str">
        <f t="shared" ref="R3:R18" si="7">IF($I$4&lt;=8*D3,"miss","match")</f>
        <v>match</v>
      </c>
      <c r="S3" s="55" t="str">
        <f t="shared" ref="S3:S18" si="8">IF($I$4&gt;=9.5*D3,"miss","match")</f>
        <v>miss</v>
      </c>
      <c r="T3" s="55" t="str">
        <f t="shared" ref="T3:T18" si="9">IF($I$5&lt;=11*F3,"miss","match")</f>
        <v>match</v>
      </c>
      <c r="U3" s="55" t="str">
        <f t="shared" ref="U3:U18" si="10">IF($I$5&gt;=13*F3,"miss","match")</f>
        <v>match</v>
      </c>
      <c r="V3" s="55" t="str">
        <f t="shared" ref="V3:V18" si="11">IF($I$6&lt;=6*C3,"miss","match")</f>
        <v>match</v>
      </c>
      <c r="W3" s="55" t="str">
        <f t="shared" ref="W3:W18" si="12">IF($I$6&gt;=8*C3,"miss","match")</f>
        <v>match</v>
      </c>
      <c r="X3" s="55" t="str">
        <f>IF($I$7&lt;=10*G3,"miss","match")</f>
        <v>miss</v>
      </c>
    </row>
    <row r="4" spans="1:24" x14ac:dyDescent="0.2">
      <c r="A4" s="56" t="s">
        <v>83</v>
      </c>
      <c r="B4" s="39" t="s">
        <v>2</v>
      </c>
      <c r="C4" s="39">
        <v>67</v>
      </c>
      <c r="D4" s="39">
        <v>46</v>
      </c>
      <c r="E4" s="39">
        <v>45</v>
      </c>
      <c r="F4" s="39">
        <v>40</v>
      </c>
      <c r="G4" s="39">
        <v>56</v>
      </c>
      <c r="H4" s="42" t="s">
        <v>105</v>
      </c>
      <c r="I4" s="43">
        <v>478</v>
      </c>
      <c r="J4" s="56" t="str">
        <f t="shared" si="0"/>
        <v>miss</v>
      </c>
      <c r="K4" s="56" t="str">
        <f t="shared" si="1"/>
        <v>miss</v>
      </c>
      <c r="L4" s="56" t="str">
        <f t="shared" si="2"/>
        <v>match</v>
      </c>
      <c r="M4" s="56" t="str">
        <f t="shared" si="3"/>
        <v>match</v>
      </c>
      <c r="N4" s="56" t="str">
        <f t="shared" si="4"/>
        <v>match</v>
      </c>
      <c r="O4" s="55"/>
      <c r="P4" s="55" t="str">
        <f t="shared" si="5"/>
        <v>match</v>
      </c>
      <c r="Q4" s="55" t="str">
        <f t="shared" si="6"/>
        <v>miss</v>
      </c>
      <c r="R4" s="55" t="str">
        <f t="shared" si="7"/>
        <v>match</v>
      </c>
      <c r="S4" s="55" t="str">
        <f t="shared" si="8"/>
        <v>miss</v>
      </c>
      <c r="T4" s="55" t="str">
        <f t="shared" si="9"/>
        <v>match</v>
      </c>
      <c r="U4" s="55" t="str">
        <f t="shared" si="10"/>
        <v>match</v>
      </c>
      <c r="V4" s="55" t="str">
        <f t="shared" si="11"/>
        <v>match</v>
      </c>
      <c r="W4" s="55" t="str">
        <f t="shared" si="12"/>
        <v>match</v>
      </c>
      <c r="X4" s="55" t="str">
        <f t="shared" ref="X4:X18" si="13">IF($I$7&lt;=10*G4,"miss","match")</f>
        <v>miss</v>
      </c>
    </row>
    <row r="5" spans="1:24" x14ac:dyDescent="0.2">
      <c r="A5" s="56" t="s">
        <v>83</v>
      </c>
      <c r="B5" s="39" t="s">
        <v>6</v>
      </c>
      <c r="C5" s="39">
        <v>68</v>
      </c>
      <c r="D5" s="39">
        <v>50</v>
      </c>
      <c r="E5" s="39">
        <v>49</v>
      </c>
      <c r="F5" s="39">
        <v>42</v>
      </c>
      <c r="G5" s="39">
        <v>64</v>
      </c>
      <c r="H5" s="42" t="s">
        <v>106</v>
      </c>
      <c r="I5" s="43">
        <v>515</v>
      </c>
      <c r="J5" s="56" t="str">
        <f t="shared" si="0"/>
        <v>miss</v>
      </c>
      <c r="K5" s="56" t="str">
        <f t="shared" si="1"/>
        <v>miss</v>
      </c>
      <c r="L5" s="56" t="str">
        <f t="shared" si="2"/>
        <v>match</v>
      </c>
      <c r="M5" s="56" t="str">
        <f t="shared" si="3"/>
        <v>match</v>
      </c>
      <c r="N5" s="56" t="str">
        <f t="shared" si="4"/>
        <v>match</v>
      </c>
      <c r="O5" s="55"/>
      <c r="P5" s="55" t="str">
        <f t="shared" si="5"/>
        <v>match</v>
      </c>
      <c r="Q5" s="55" t="str">
        <f t="shared" si="6"/>
        <v>miss</v>
      </c>
      <c r="R5" s="55" t="str">
        <f t="shared" si="7"/>
        <v>match</v>
      </c>
      <c r="S5" s="55" t="str">
        <f t="shared" si="8"/>
        <v>miss</v>
      </c>
      <c r="T5" s="55" t="str">
        <f t="shared" si="9"/>
        <v>match</v>
      </c>
      <c r="U5" s="55" t="str">
        <f t="shared" si="10"/>
        <v>match</v>
      </c>
      <c r="V5" s="55" t="str">
        <f t="shared" si="11"/>
        <v>match</v>
      </c>
      <c r="W5" s="55" t="str">
        <f t="shared" si="12"/>
        <v>match</v>
      </c>
      <c r="X5" s="55" t="str">
        <f t="shared" si="13"/>
        <v>miss</v>
      </c>
    </row>
    <row r="6" spans="1:24" x14ac:dyDescent="0.2">
      <c r="A6" s="56" t="s">
        <v>83</v>
      </c>
      <c r="B6" s="39" t="s">
        <v>7</v>
      </c>
      <c r="C6" s="39">
        <v>64</v>
      </c>
      <c r="D6" s="39">
        <v>47</v>
      </c>
      <c r="E6" s="39">
        <v>45.5</v>
      </c>
      <c r="F6" s="39">
        <v>46</v>
      </c>
      <c r="G6" s="39">
        <v>52.5</v>
      </c>
      <c r="H6" s="42" t="s">
        <v>107</v>
      </c>
      <c r="I6" s="43">
        <v>434</v>
      </c>
      <c r="J6" s="56" t="str">
        <f t="shared" si="0"/>
        <v>miss</v>
      </c>
      <c r="K6" s="56" t="str">
        <f t="shared" si="1"/>
        <v>miss</v>
      </c>
      <c r="L6" s="56" t="str">
        <f t="shared" si="2"/>
        <v>match</v>
      </c>
      <c r="M6" s="56" t="str">
        <f t="shared" si="3"/>
        <v>match</v>
      </c>
      <c r="N6" s="56" t="str">
        <f t="shared" si="4"/>
        <v>miss</v>
      </c>
      <c r="O6" s="55"/>
      <c r="P6" s="55" t="str">
        <f t="shared" si="5"/>
        <v>match</v>
      </c>
      <c r="Q6" s="55" t="str">
        <f t="shared" si="6"/>
        <v>miss</v>
      </c>
      <c r="R6" s="55" t="str">
        <f t="shared" si="7"/>
        <v>match</v>
      </c>
      <c r="S6" s="55" t="str">
        <f t="shared" si="8"/>
        <v>miss</v>
      </c>
      <c r="T6" s="55" t="str">
        <f t="shared" si="9"/>
        <v>match</v>
      </c>
      <c r="U6" s="55" t="str">
        <f t="shared" si="10"/>
        <v>match</v>
      </c>
      <c r="V6" s="55" t="str">
        <f t="shared" si="11"/>
        <v>match</v>
      </c>
      <c r="W6" s="55" t="str">
        <f t="shared" si="12"/>
        <v>match</v>
      </c>
      <c r="X6" s="55" t="str">
        <f t="shared" si="13"/>
        <v>miss</v>
      </c>
    </row>
    <row r="7" spans="1:24" x14ac:dyDescent="0.2">
      <c r="A7" s="56" t="s">
        <v>83</v>
      </c>
      <c r="B7" s="39" t="s">
        <v>8</v>
      </c>
      <c r="C7" s="39">
        <v>63</v>
      </c>
      <c r="D7" s="39">
        <v>42</v>
      </c>
      <c r="E7" s="39">
        <v>45</v>
      </c>
      <c r="F7" s="39">
        <v>41</v>
      </c>
      <c r="G7" s="39">
        <v>53</v>
      </c>
      <c r="H7" s="42" t="s">
        <v>108</v>
      </c>
      <c r="I7" s="43">
        <v>454</v>
      </c>
      <c r="J7" s="56" t="str">
        <f t="shared" si="0"/>
        <v>miss</v>
      </c>
      <c r="K7" s="56" t="str">
        <f t="shared" si="1"/>
        <v>miss</v>
      </c>
      <c r="L7" s="56" t="str">
        <f t="shared" si="2"/>
        <v>match</v>
      </c>
      <c r="M7" s="56" t="str">
        <f t="shared" si="3"/>
        <v>match</v>
      </c>
      <c r="N7" s="56" t="str">
        <f t="shared" si="4"/>
        <v>match</v>
      </c>
      <c r="O7" s="55"/>
      <c r="P7" s="55" t="str">
        <f t="shared" si="5"/>
        <v>match</v>
      </c>
      <c r="Q7" s="55" t="str">
        <f t="shared" si="6"/>
        <v>miss</v>
      </c>
      <c r="R7" s="55" t="str">
        <f t="shared" si="7"/>
        <v>match</v>
      </c>
      <c r="S7" s="55" t="str">
        <f t="shared" si="8"/>
        <v>miss</v>
      </c>
      <c r="T7" s="55" t="str">
        <f t="shared" si="9"/>
        <v>match</v>
      </c>
      <c r="U7" s="55" t="str">
        <f t="shared" si="10"/>
        <v>match</v>
      </c>
      <c r="V7" s="55" t="str">
        <f t="shared" si="11"/>
        <v>match</v>
      </c>
      <c r="W7" s="55" t="str">
        <f t="shared" si="12"/>
        <v>match</v>
      </c>
      <c r="X7" s="55" t="str">
        <f t="shared" si="13"/>
        <v>miss</v>
      </c>
    </row>
    <row r="8" spans="1:24" x14ac:dyDescent="0.2">
      <c r="A8" s="56" t="s">
        <v>83</v>
      </c>
      <c r="B8" s="39" t="s">
        <v>9</v>
      </c>
      <c r="C8" s="39">
        <v>62</v>
      </c>
      <c r="D8" s="39">
        <v>44</v>
      </c>
      <c r="E8" s="39">
        <v>49</v>
      </c>
      <c r="F8" s="39">
        <v>43</v>
      </c>
      <c r="G8" s="39">
        <v>55</v>
      </c>
      <c r="H8" s="56"/>
      <c r="I8" s="56"/>
      <c r="J8" s="56" t="str">
        <f t="shared" si="0"/>
        <v>miss</v>
      </c>
      <c r="K8" s="56" t="str">
        <f t="shared" si="1"/>
        <v>miss</v>
      </c>
      <c r="L8" s="56" t="str">
        <f t="shared" si="2"/>
        <v>match</v>
      </c>
      <c r="M8" s="56" t="str">
        <f t="shared" si="3"/>
        <v>match</v>
      </c>
      <c r="N8" s="56" t="str">
        <f t="shared" si="4"/>
        <v>match</v>
      </c>
      <c r="O8" s="55"/>
      <c r="P8" s="55" t="str">
        <f t="shared" si="5"/>
        <v>match</v>
      </c>
      <c r="Q8" s="55" t="str">
        <f t="shared" si="6"/>
        <v>miss</v>
      </c>
      <c r="R8" s="55" t="str">
        <f t="shared" si="7"/>
        <v>match</v>
      </c>
      <c r="S8" s="55" t="str">
        <f t="shared" si="8"/>
        <v>miss</v>
      </c>
      <c r="T8" s="55" t="str">
        <f t="shared" si="9"/>
        <v>match</v>
      </c>
      <c r="U8" s="55" t="str">
        <f t="shared" si="10"/>
        <v>match</v>
      </c>
      <c r="V8" s="55" t="str">
        <f t="shared" si="11"/>
        <v>match</v>
      </c>
      <c r="W8" s="55" t="str">
        <f t="shared" si="12"/>
        <v>match</v>
      </c>
      <c r="X8" s="55" t="str">
        <f t="shared" si="13"/>
        <v>miss</v>
      </c>
    </row>
    <row r="9" spans="1:24" x14ac:dyDescent="0.2">
      <c r="A9" s="56" t="s">
        <v>83</v>
      </c>
      <c r="B9" s="39" t="s">
        <v>10</v>
      </c>
      <c r="C9" s="39">
        <v>63</v>
      </c>
      <c r="D9" s="39">
        <v>49</v>
      </c>
      <c r="E9" s="39">
        <v>46</v>
      </c>
      <c r="F9" s="39">
        <v>49</v>
      </c>
      <c r="G9" s="39">
        <v>43</v>
      </c>
      <c r="H9" s="56"/>
      <c r="I9" s="56"/>
      <c r="J9" s="56" t="str">
        <f t="shared" si="0"/>
        <v>miss</v>
      </c>
      <c r="K9" s="56" t="str">
        <f t="shared" si="1"/>
        <v>miss</v>
      </c>
      <c r="L9" s="56" t="str">
        <f t="shared" si="2"/>
        <v>miss</v>
      </c>
      <c r="M9" s="56" t="str">
        <f t="shared" si="3"/>
        <v>match</v>
      </c>
      <c r="N9" s="56" t="str">
        <f t="shared" si="4"/>
        <v>miss</v>
      </c>
      <c r="O9" s="55"/>
      <c r="P9" s="55" t="str">
        <f t="shared" si="5"/>
        <v>match</v>
      </c>
      <c r="Q9" s="55" t="str">
        <f t="shared" si="6"/>
        <v>miss</v>
      </c>
      <c r="R9" s="55" t="str">
        <f t="shared" si="7"/>
        <v>match</v>
      </c>
      <c r="S9" s="55" t="str">
        <f t="shared" si="8"/>
        <v>miss</v>
      </c>
      <c r="T9" s="55" t="str">
        <f t="shared" si="9"/>
        <v>miss</v>
      </c>
      <c r="U9" s="55" t="str">
        <f t="shared" si="10"/>
        <v>match</v>
      </c>
      <c r="V9" s="55" t="str">
        <f t="shared" si="11"/>
        <v>match</v>
      </c>
      <c r="W9" s="55" t="str">
        <f t="shared" si="12"/>
        <v>match</v>
      </c>
      <c r="X9" s="55" t="str">
        <f t="shared" si="13"/>
        <v>match</v>
      </c>
    </row>
    <row r="10" spans="1:24" x14ac:dyDescent="0.2">
      <c r="A10" s="56" t="s">
        <v>83</v>
      </c>
      <c r="B10" s="39" t="s">
        <v>11</v>
      </c>
      <c r="C10" s="39">
        <v>61</v>
      </c>
      <c r="D10" s="39">
        <v>44</v>
      </c>
      <c r="E10" s="39">
        <v>44</v>
      </c>
      <c r="F10" s="39">
        <v>43</v>
      </c>
      <c r="G10" s="39">
        <v>52</v>
      </c>
      <c r="H10" s="56"/>
      <c r="I10" s="56"/>
      <c r="J10" s="56" t="str">
        <f t="shared" si="0"/>
        <v>miss</v>
      </c>
      <c r="K10" s="56" t="str">
        <f t="shared" si="1"/>
        <v>miss</v>
      </c>
      <c r="L10" s="56" t="str">
        <f t="shared" si="2"/>
        <v>match</v>
      </c>
      <c r="M10" s="56" t="str">
        <f t="shared" si="3"/>
        <v>match</v>
      </c>
      <c r="N10" s="56" t="str">
        <f t="shared" si="4"/>
        <v>match</v>
      </c>
      <c r="O10" s="55"/>
      <c r="P10" s="55" t="str">
        <f t="shared" si="5"/>
        <v>match</v>
      </c>
      <c r="Q10" s="55" t="str">
        <f t="shared" si="6"/>
        <v>miss</v>
      </c>
      <c r="R10" s="55" t="str">
        <f t="shared" si="7"/>
        <v>match</v>
      </c>
      <c r="S10" s="55" t="str">
        <f t="shared" si="8"/>
        <v>miss</v>
      </c>
      <c r="T10" s="55" t="str">
        <f t="shared" si="9"/>
        <v>match</v>
      </c>
      <c r="U10" s="55" t="str">
        <f t="shared" si="10"/>
        <v>match</v>
      </c>
      <c r="V10" s="55" t="str">
        <f t="shared" si="11"/>
        <v>match</v>
      </c>
      <c r="W10" s="55" t="str">
        <f t="shared" si="12"/>
        <v>match</v>
      </c>
      <c r="X10" s="55" t="str">
        <f t="shared" si="13"/>
        <v>miss</v>
      </c>
    </row>
    <row r="11" spans="1:24" x14ac:dyDescent="0.2">
      <c r="A11" s="56" t="s">
        <v>83</v>
      </c>
      <c r="B11" s="39" t="s">
        <v>12</v>
      </c>
      <c r="C11" s="39">
        <v>57</v>
      </c>
      <c r="D11" s="39">
        <v>45</v>
      </c>
      <c r="E11" s="39">
        <v>46</v>
      </c>
      <c r="F11" s="39">
        <v>41</v>
      </c>
      <c r="G11" s="39">
        <v>44</v>
      </c>
      <c r="H11" s="56"/>
      <c r="I11" s="56"/>
      <c r="J11" s="56" t="str">
        <f t="shared" si="0"/>
        <v>miss</v>
      </c>
      <c r="K11" s="56" t="str">
        <f t="shared" si="1"/>
        <v>miss</v>
      </c>
      <c r="L11" s="56" t="str">
        <f t="shared" si="2"/>
        <v>match</v>
      </c>
      <c r="M11" s="56" t="str">
        <f t="shared" si="3"/>
        <v>match</v>
      </c>
      <c r="N11" s="56" t="str">
        <f t="shared" si="4"/>
        <v>match</v>
      </c>
      <c r="O11" s="55"/>
      <c r="P11" s="55" t="str">
        <f t="shared" si="5"/>
        <v>match</v>
      </c>
      <c r="Q11" s="55" t="str">
        <f t="shared" si="6"/>
        <v>miss</v>
      </c>
      <c r="R11" s="55" t="str">
        <f t="shared" si="7"/>
        <v>match</v>
      </c>
      <c r="S11" s="55" t="str">
        <f t="shared" si="8"/>
        <v>miss</v>
      </c>
      <c r="T11" s="55" t="str">
        <f t="shared" si="9"/>
        <v>match</v>
      </c>
      <c r="U11" s="55" t="str">
        <f t="shared" si="10"/>
        <v>match</v>
      </c>
      <c r="V11" s="55" t="str">
        <f t="shared" si="11"/>
        <v>match</v>
      </c>
      <c r="W11" s="55" t="str">
        <f t="shared" si="12"/>
        <v>match</v>
      </c>
      <c r="X11" s="55" t="str">
        <f t="shared" si="13"/>
        <v>match</v>
      </c>
    </row>
    <row r="12" spans="1:24" x14ac:dyDescent="0.2">
      <c r="A12" s="56" t="s">
        <v>83</v>
      </c>
      <c r="B12" s="39" t="s">
        <v>13</v>
      </c>
      <c r="C12" s="39">
        <v>58</v>
      </c>
      <c r="D12" s="39">
        <v>42</v>
      </c>
      <c r="E12" s="39">
        <v>43</v>
      </c>
      <c r="F12" s="39">
        <v>41</v>
      </c>
      <c r="G12" s="39">
        <v>52</v>
      </c>
      <c r="H12" s="56"/>
      <c r="I12" s="56"/>
      <c r="J12" s="56" t="str">
        <f t="shared" si="0"/>
        <v>miss</v>
      </c>
      <c r="K12" s="56" t="str">
        <f t="shared" si="1"/>
        <v>miss</v>
      </c>
      <c r="L12" s="56" t="str">
        <f t="shared" si="2"/>
        <v>match</v>
      </c>
      <c r="M12" s="56" t="str">
        <f t="shared" si="3"/>
        <v>match</v>
      </c>
      <c r="N12" s="56" t="str">
        <f t="shared" si="4"/>
        <v>match</v>
      </c>
      <c r="O12" s="55"/>
      <c r="P12" s="55" t="str">
        <f t="shared" si="5"/>
        <v>match</v>
      </c>
      <c r="Q12" s="55" t="str">
        <f t="shared" si="6"/>
        <v>miss</v>
      </c>
      <c r="R12" s="55" t="str">
        <f t="shared" si="7"/>
        <v>match</v>
      </c>
      <c r="S12" s="55" t="str">
        <f t="shared" si="8"/>
        <v>miss</v>
      </c>
      <c r="T12" s="55" t="str">
        <f t="shared" si="9"/>
        <v>match</v>
      </c>
      <c r="U12" s="55" t="str">
        <f t="shared" si="10"/>
        <v>match</v>
      </c>
      <c r="V12" s="55" t="str">
        <f t="shared" si="11"/>
        <v>match</v>
      </c>
      <c r="W12" s="55" t="str">
        <f t="shared" si="12"/>
        <v>match</v>
      </c>
      <c r="X12" s="55" t="str">
        <f t="shared" si="13"/>
        <v>miss</v>
      </c>
    </row>
    <row r="13" spans="1:24" x14ac:dyDescent="0.2">
      <c r="A13" s="56" t="s">
        <v>83</v>
      </c>
      <c r="B13" s="39" t="s">
        <v>15</v>
      </c>
      <c r="C13" s="39">
        <v>59</v>
      </c>
      <c r="D13" s="39">
        <v>47</v>
      </c>
      <c r="E13" s="39">
        <v>46</v>
      </c>
      <c r="F13" s="39">
        <v>46</v>
      </c>
      <c r="G13" s="39">
        <v>64</v>
      </c>
      <c r="H13" s="56"/>
      <c r="I13" s="56"/>
      <c r="J13" s="56" t="str">
        <f t="shared" si="0"/>
        <v>miss</v>
      </c>
      <c r="K13" s="56" t="str">
        <f t="shared" si="1"/>
        <v>miss</v>
      </c>
      <c r="L13" s="56" t="str">
        <f t="shared" si="2"/>
        <v>match</v>
      </c>
      <c r="M13" s="56" t="str">
        <f t="shared" si="3"/>
        <v>match</v>
      </c>
      <c r="N13" s="56" t="str">
        <f t="shared" si="4"/>
        <v>miss</v>
      </c>
      <c r="O13" s="55"/>
      <c r="P13" s="55" t="str">
        <f t="shared" si="5"/>
        <v>match</v>
      </c>
      <c r="Q13" s="55" t="str">
        <f t="shared" si="6"/>
        <v>miss</v>
      </c>
      <c r="R13" s="55" t="str">
        <f t="shared" si="7"/>
        <v>match</v>
      </c>
      <c r="S13" s="55" t="str">
        <f t="shared" si="8"/>
        <v>miss</v>
      </c>
      <c r="T13" s="55" t="str">
        <f t="shared" si="9"/>
        <v>match</v>
      </c>
      <c r="U13" s="55" t="str">
        <f t="shared" si="10"/>
        <v>match</v>
      </c>
      <c r="V13" s="55" t="str">
        <f t="shared" si="11"/>
        <v>match</v>
      </c>
      <c r="W13" s="55" t="str">
        <f t="shared" si="12"/>
        <v>match</v>
      </c>
      <c r="X13" s="55" t="str">
        <f t="shared" si="13"/>
        <v>miss</v>
      </c>
    </row>
    <row r="14" spans="1:24" x14ac:dyDescent="0.2">
      <c r="A14" s="56" t="s">
        <v>83</v>
      </c>
      <c r="B14" s="39" t="s">
        <v>17</v>
      </c>
      <c r="C14" s="39">
        <v>54.5</v>
      </c>
      <c r="D14" s="39">
        <v>45.5</v>
      </c>
      <c r="E14" s="39">
        <v>46</v>
      </c>
      <c r="F14" s="39">
        <v>46</v>
      </c>
      <c r="G14" s="39">
        <v>58</v>
      </c>
      <c r="H14" s="56"/>
      <c r="I14" s="56"/>
      <c r="J14" s="56" t="str">
        <f t="shared" si="0"/>
        <v>miss</v>
      </c>
      <c r="K14" s="56" t="str">
        <f t="shared" si="1"/>
        <v>miss</v>
      </c>
      <c r="L14" s="56" t="str">
        <f t="shared" si="2"/>
        <v>match</v>
      </c>
      <c r="M14" s="56" t="str">
        <f t="shared" si="3"/>
        <v>match</v>
      </c>
      <c r="N14" s="56" t="str">
        <f t="shared" si="4"/>
        <v>miss</v>
      </c>
      <c r="O14" s="55"/>
      <c r="P14" s="55" t="str">
        <f t="shared" si="5"/>
        <v>match</v>
      </c>
      <c r="Q14" s="55" t="str">
        <f t="shared" si="6"/>
        <v>miss</v>
      </c>
      <c r="R14" s="55" t="str">
        <f t="shared" si="7"/>
        <v>match</v>
      </c>
      <c r="S14" s="55" t="str">
        <f t="shared" si="8"/>
        <v>miss</v>
      </c>
      <c r="T14" s="55" t="str">
        <f t="shared" si="9"/>
        <v>match</v>
      </c>
      <c r="U14" s="55" t="str">
        <f t="shared" si="10"/>
        <v>match</v>
      </c>
      <c r="V14" s="55" t="str">
        <f t="shared" si="11"/>
        <v>match</v>
      </c>
      <c r="W14" s="55" t="str">
        <f t="shared" si="12"/>
        <v>match</v>
      </c>
      <c r="X14" s="55" t="str">
        <f t="shared" si="13"/>
        <v>miss</v>
      </c>
    </row>
    <row r="15" spans="1:24" x14ac:dyDescent="0.2">
      <c r="A15" s="56" t="s">
        <v>83</v>
      </c>
      <c r="B15" s="39" t="s">
        <v>19</v>
      </c>
      <c r="C15" s="39">
        <v>57.5</v>
      </c>
      <c r="D15" s="39">
        <v>41</v>
      </c>
      <c r="E15" s="39">
        <v>43.5</v>
      </c>
      <c r="F15" s="39">
        <v>44</v>
      </c>
      <c r="G15" s="39">
        <v>43</v>
      </c>
      <c r="H15" s="56"/>
      <c r="I15" s="56"/>
      <c r="J15" s="56" t="str">
        <f t="shared" si="0"/>
        <v>miss</v>
      </c>
      <c r="K15" s="56" t="str">
        <f t="shared" si="1"/>
        <v>miss</v>
      </c>
      <c r="L15" s="56" t="str">
        <f t="shared" si="2"/>
        <v>match</v>
      </c>
      <c r="M15" s="56" t="str">
        <f t="shared" si="3"/>
        <v>match</v>
      </c>
      <c r="N15" s="56" t="str">
        <f t="shared" si="4"/>
        <v>match</v>
      </c>
      <c r="O15" s="55"/>
      <c r="P15" s="55" t="str">
        <f t="shared" si="5"/>
        <v>match</v>
      </c>
      <c r="Q15" s="55" t="str">
        <f t="shared" si="6"/>
        <v>miss</v>
      </c>
      <c r="R15" s="55" t="str">
        <f t="shared" si="7"/>
        <v>match</v>
      </c>
      <c r="S15" s="55" t="str">
        <f t="shared" si="8"/>
        <v>miss</v>
      </c>
      <c r="T15" s="55" t="str">
        <f t="shared" si="9"/>
        <v>match</v>
      </c>
      <c r="U15" s="55" t="str">
        <f t="shared" si="10"/>
        <v>match</v>
      </c>
      <c r="V15" s="55" t="str">
        <f t="shared" si="11"/>
        <v>match</v>
      </c>
      <c r="W15" s="55" t="str">
        <f t="shared" si="12"/>
        <v>match</v>
      </c>
      <c r="X15" s="55" t="str">
        <f t="shared" si="13"/>
        <v>match</v>
      </c>
    </row>
    <row r="16" spans="1:24" x14ac:dyDescent="0.2">
      <c r="A16" s="56" t="s">
        <v>83</v>
      </c>
      <c r="B16" s="39" t="s">
        <v>24</v>
      </c>
      <c r="C16" s="39">
        <v>56</v>
      </c>
      <c r="D16" s="39">
        <v>47</v>
      </c>
      <c r="E16" s="39">
        <v>46</v>
      </c>
      <c r="F16" s="39">
        <v>46</v>
      </c>
      <c r="G16" s="39">
        <v>39</v>
      </c>
      <c r="H16" s="56"/>
      <c r="I16" s="56"/>
      <c r="J16" s="56" t="str">
        <f t="shared" si="0"/>
        <v>miss</v>
      </c>
      <c r="K16" s="56" t="str">
        <f t="shared" si="1"/>
        <v>miss</v>
      </c>
      <c r="L16" s="56" t="str">
        <f t="shared" si="2"/>
        <v>match</v>
      </c>
      <c r="M16" s="56" t="str">
        <f t="shared" si="3"/>
        <v>match</v>
      </c>
      <c r="N16" s="56" t="str">
        <f t="shared" si="4"/>
        <v>miss</v>
      </c>
      <c r="O16" s="55"/>
      <c r="P16" s="55" t="str">
        <f t="shared" si="5"/>
        <v>match</v>
      </c>
      <c r="Q16" s="55" t="str">
        <f t="shared" si="6"/>
        <v>miss</v>
      </c>
      <c r="R16" s="55" t="str">
        <f t="shared" si="7"/>
        <v>match</v>
      </c>
      <c r="S16" s="55" t="str">
        <f t="shared" si="8"/>
        <v>miss</v>
      </c>
      <c r="T16" s="55" t="str">
        <f t="shared" si="9"/>
        <v>match</v>
      </c>
      <c r="U16" s="55" t="str">
        <f t="shared" si="10"/>
        <v>match</v>
      </c>
      <c r="V16" s="55" t="str">
        <f t="shared" si="11"/>
        <v>match</v>
      </c>
      <c r="W16" s="55" t="str">
        <f t="shared" si="12"/>
        <v>match</v>
      </c>
      <c r="X16" s="55" t="str">
        <f t="shared" si="13"/>
        <v>match</v>
      </c>
    </row>
    <row r="17" spans="1:25" x14ac:dyDescent="0.2">
      <c r="A17" s="56" t="s">
        <v>83</v>
      </c>
      <c r="B17" s="39" t="s">
        <v>31</v>
      </c>
      <c r="C17" s="39">
        <v>68</v>
      </c>
      <c r="D17" s="39">
        <v>51</v>
      </c>
      <c r="E17" s="39">
        <v>49</v>
      </c>
      <c r="F17" s="39">
        <v>48</v>
      </c>
      <c r="G17" s="39">
        <v>58</v>
      </c>
      <c r="H17" s="56"/>
      <c r="I17" s="56"/>
      <c r="J17" s="56" t="str">
        <f t="shared" si="0"/>
        <v>miss</v>
      </c>
      <c r="K17" s="56" t="str">
        <f t="shared" si="1"/>
        <v>match</v>
      </c>
      <c r="L17" s="56" t="str">
        <f t="shared" si="2"/>
        <v>miss</v>
      </c>
      <c r="M17" s="56" t="str">
        <f t="shared" si="3"/>
        <v>match</v>
      </c>
      <c r="N17" s="56" t="str">
        <f t="shared" si="4"/>
        <v>miss</v>
      </c>
      <c r="O17" s="55"/>
      <c r="P17" s="55" t="str">
        <f t="shared" si="5"/>
        <v>match</v>
      </c>
      <c r="Q17" s="55" t="str">
        <f t="shared" si="6"/>
        <v>miss</v>
      </c>
      <c r="R17" s="55" t="str">
        <f t="shared" si="7"/>
        <v>match</v>
      </c>
      <c r="S17" s="55" t="str">
        <f t="shared" si="8"/>
        <v>match</v>
      </c>
      <c r="T17" s="55" t="str">
        <f t="shared" si="9"/>
        <v>miss</v>
      </c>
      <c r="U17" s="55" t="str">
        <f t="shared" si="10"/>
        <v>match</v>
      </c>
      <c r="V17" s="55" t="str">
        <f t="shared" si="11"/>
        <v>match</v>
      </c>
      <c r="W17" s="55" t="str">
        <f t="shared" si="12"/>
        <v>match</v>
      </c>
      <c r="X17" s="55" t="str">
        <f t="shared" si="13"/>
        <v>miss</v>
      </c>
    </row>
    <row r="18" spans="1:25" x14ac:dyDescent="0.2">
      <c r="A18" s="56" t="s">
        <v>83</v>
      </c>
      <c r="B18" s="39" t="s">
        <v>32</v>
      </c>
      <c r="C18" s="39">
        <v>61</v>
      </c>
      <c r="D18" s="39">
        <v>48</v>
      </c>
      <c r="E18" s="39">
        <v>46</v>
      </c>
      <c r="F18" s="39">
        <v>42</v>
      </c>
      <c r="G18" s="39">
        <v>49.5</v>
      </c>
      <c r="H18" s="56"/>
      <c r="I18" s="56"/>
      <c r="J18" s="56" t="str">
        <f t="shared" si="0"/>
        <v>miss</v>
      </c>
      <c r="K18" s="56" t="str">
        <f t="shared" si="1"/>
        <v>miss</v>
      </c>
      <c r="L18" s="56" t="str">
        <f t="shared" si="2"/>
        <v>match</v>
      </c>
      <c r="M18" s="56" t="str">
        <f t="shared" si="3"/>
        <v>match</v>
      </c>
      <c r="N18" s="56" t="str">
        <f t="shared" si="4"/>
        <v>match</v>
      </c>
      <c r="O18" s="55"/>
      <c r="P18" s="55" t="str">
        <f t="shared" si="5"/>
        <v>match</v>
      </c>
      <c r="Q18" s="55" t="str">
        <f t="shared" si="6"/>
        <v>miss</v>
      </c>
      <c r="R18" s="55" t="str">
        <f t="shared" si="7"/>
        <v>match</v>
      </c>
      <c r="S18" s="55" t="str">
        <f t="shared" si="8"/>
        <v>miss</v>
      </c>
      <c r="T18" s="55" t="str">
        <f t="shared" si="9"/>
        <v>match</v>
      </c>
      <c r="U18" s="55" t="str">
        <f t="shared" si="10"/>
        <v>match</v>
      </c>
      <c r="V18" s="55" t="str">
        <f t="shared" si="11"/>
        <v>match</v>
      </c>
      <c r="W18" s="55" t="str">
        <f t="shared" si="12"/>
        <v>match</v>
      </c>
      <c r="X18" s="55" t="str">
        <f t="shared" si="13"/>
        <v>miss</v>
      </c>
    </row>
    <row r="19" spans="1:25" x14ac:dyDescent="0.2">
      <c r="A19" s="56"/>
      <c r="B19" s="40" t="s">
        <v>97</v>
      </c>
      <c r="C19" s="36">
        <f>MAX(C3:C18)*10</f>
        <v>680</v>
      </c>
      <c r="D19" s="36">
        <f t="shared" ref="D19:F19" si="14">MAX(D3:D18)*10</f>
        <v>510</v>
      </c>
      <c r="E19" s="36">
        <f t="shared" si="14"/>
        <v>490</v>
      </c>
      <c r="F19" s="36">
        <f t="shared" si="14"/>
        <v>490</v>
      </c>
      <c r="G19" s="36">
        <f t="shared" ref="G19" si="15">MAX(G3:G18)*10</f>
        <v>640</v>
      </c>
      <c r="H19" s="56"/>
      <c r="I19" s="36" t="s">
        <v>116</v>
      </c>
      <c r="J19" s="44">
        <f>P19+Q19</f>
        <v>1</v>
      </c>
      <c r="K19" s="44">
        <f>R19+S19</f>
        <v>0.9375</v>
      </c>
      <c r="L19" s="44">
        <f>T19+U19</f>
        <v>0.125</v>
      </c>
      <c r="M19" s="44">
        <f>V19+W19</f>
        <v>0</v>
      </c>
      <c r="N19" s="44">
        <f>X19</f>
        <v>0.75</v>
      </c>
      <c r="O19" s="55"/>
      <c r="P19" s="44">
        <f t="shared" ref="P19:X19" si="16">COUNTIF(P3:P18,"=miss")/16</f>
        <v>0</v>
      </c>
      <c r="Q19" s="44">
        <f t="shared" si="16"/>
        <v>1</v>
      </c>
      <c r="R19" s="44">
        <f t="shared" si="16"/>
        <v>0</v>
      </c>
      <c r="S19" s="44">
        <f t="shared" si="16"/>
        <v>0.9375</v>
      </c>
      <c r="T19" s="44">
        <f t="shared" si="16"/>
        <v>0.125</v>
      </c>
      <c r="U19" s="44">
        <f t="shared" si="16"/>
        <v>0</v>
      </c>
      <c r="V19" s="44">
        <f t="shared" si="16"/>
        <v>0</v>
      </c>
      <c r="W19" s="44">
        <f t="shared" si="16"/>
        <v>0</v>
      </c>
      <c r="X19" s="44">
        <f t="shared" si="16"/>
        <v>0.75</v>
      </c>
      <c r="Y19" s="45"/>
    </row>
    <row r="20" spans="1:25" x14ac:dyDescent="0.2">
      <c r="A20" s="56"/>
      <c r="B20" s="40" t="s">
        <v>98</v>
      </c>
      <c r="C20" s="36">
        <f>MIN(C3:C18)*10</f>
        <v>545</v>
      </c>
      <c r="D20" s="36">
        <f t="shared" ref="D20:F20" si="17">MIN(D3:D18)*10</f>
        <v>410</v>
      </c>
      <c r="E20" s="36">
        <f t="shared" si="17"/>
        <v>430</v>
      </c>
      <c r="F20" s="36">
        <f t="shared" si="17"/>
        <v>400</v>
      </c>
      <c r="G20" s="36">
        <f t="shared" ref="G20" si="18">MIN(G3:G18)*10</f>
        <v>390</v>
      </c>
      <c r="H20" s="56"/>
      <c r="I20" s="36"/>
      <c r="J20" s="44"/>
      <c r="K20" s="44"/>
      <c r="L20" s="44"/>
      <c r="M20" s="44"/>
      <c r="N20" s="44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spans="1:25" x14ac:dyDescent="0.2">
      <c r="A21" s="56"/>
      <c r="B21" s="40" t="s">
        <v>99</v>
      </c>
      <c r="C21" s="57">
        <f>AVERAGE(C3:C18)*10</f>
        <v>614.375</v>
      </c>
      <c r="D21" s="57">
        <f t="shared" ref="D21:F21" si="19">AVERAGE(D3:D18)*10</f>
        <v>459.0625</v>
      </c>
      <c r="E21" s="57">
        <f t="shared" si="19"/>
        <v>459.375</v>
      </c>
      <c r="F21" s="57">
        <f t="shared" si="19"/>
        <v>437.5</v>
      </c>
      <c r="G21" s="57">
        <f t="shared" ref="G21" si="20">AVERAGE(G3:G18)*10</f>
        <v>525</v>
      </c>
      <c r="H21" s="56"/>
      <c r="I21" s="36"/>
      <c r="J21" s="44"/>
      <c r="K21" s="44"/>
      <c r="L21" s="44"/>
      <c r="M21" s="44"/>
      <c r="N21" s="44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5" x14ac:dyDescent="0.2">
      <c r="A22" s="56"/>
      <c r="B22" s="40" t="s">
        <v>100</v>
      </c>
      <c r="C22" s="57">
        <f>_xlfn.STDEV.S(C3:C18)*10</f>
        <v>42.145581025773033</v>
      </c>
      <c r="D22" s="57">
        <f t="shared" ref="D22:F22" si="21">_xlfn.STDEV.S(D3:D18)*10</f>
        <v>28.648371099709429</v>
      </c>
      <c r="E22" s="57">
        <f t="shared" si="21"/>
        <v>17.969882210706519</v>
      </c>
      <c r="F22" s="57">
        <f t="shared" si="21"/>
        <v>27.446918466985203</v>
      </c>
      <c r="G22" s="57">
        <f t="shared" ref="G22" si="22">_xlfn.STDEV.S(G3:G18)*10</f>
        <v>73.416619371910613</v>
      </c>
      <c r="H22" s="56"/>
      <c r="I22" s="36"/>
      <c r="J22" s="44"/>
      <c r="K22" s="44"/>
      <c r="L22" s="44"/>
      <c r="M22" s="44"/>
      <c r="N22" s="44"/>
      <c r="O22" s="55"/>
      <c r="P22" s="55"/>
      <c r="Q22" s="55"/>
      <c r="R22" s="55"/>
      <c r="S22" s="55"/>
      <c r="T22" s="55"/>
      <c r="U22" s="55"/>
      <c r="V22" s="55"/>
      <c r="W22" s="55"/>
      <c r="X22" s="55"/>
    </row>
    <row r="23" spans="1:25" x14ac:dyDescent="0.2">
      <c r="A23" s="56"/>
      <c r="B23" s="40" t="s">
        <v>101</v>
      </c>
      <c r="C23" s="57">
        <f>_xlfn.PERCENTILE.INC(C3:C18,0.05)*10</f>
        <v>556.25</v>
      </c>
      <c r="D23" s="57">
        <f t="shared" ref="D23:F23" si="23">_xlfn.PERCENTILE.INC(D3:D18,0.05)*10</f>
        <v>417.5</v>
      </c>
      <c r="E23" s="57">
        <f t="shared" si="23"/>
        <v>433.75</v>
      </c>
      <c r="F23" s="57">
        <f t="shared" si="23"/>
        <v>407.5</v>
      </c>
      <c r="G23" s="57">
        <f t="shared" ref="G23" si="24">_xlfn.PERCENTILE.INC(G3:G18,0.05)*10</f>
        <v>420</v>
      </c>
      <c r="H23" s="56"/>
      <c r="I23" s="36"/>
      <c r="J23" s="44"/>
      <c r="K23" s="44"/>
      <c r="L23" s="44"/>
      <c r="M23" s="44"/>
      <c r="N23" s="44"/>
      <c r="O23" s="55"/>
      <c r="P23" s="55"/>
      <c r="Q23" s="55"/>
      <c r="R23" s="55"/>
      <c r="S23" s="55"/>
      <c r="T23" s="55"/>
      <c r="U23" s="55"/>
      <c r="V23" s="55"/>
      <c r="W23" s="55"/>
      <c r="X23" s="55"/>
    </row>
    <row r="24" spans="1:25" x14ac:dyDescent="0.2">
      <c r="A24" s="56"/>
      <c r="B24" s="40" t="s">
        <v>102</v>
      </c>
      <c r="C24" s="57">
        <f>_xlfn.PERCENTILE.INC(C3:C18,0.5)*10</f>
        <v>615</v>
      </c>
      <c r="D24" s="57">
        <f t="shared" ref="D24:F24" si="25">_xlfn.PERCENTILE.INC(D3:D18,0.5)*10</f>
        <v>460</v>
      </c>
      <c r="E24" s="57">
        <f t="shared" si="25"/>
        <v>460</v>
      </c>
      <c r="F24" s="57">
        <f t="shared" si="25"/>
        <v>430</v>
      </c>
      <c r="G24" s="57">
        <f t="shared" ref="G24" si="26">_xlfn.PERCENTILE.INC(G3:G18,0.5)*10</f>
        <v>527.5</v>
      </c>
      <c r="H24" s="56"/>
      <c r="I24" s="36"/>
      <c r="J24" s="44"/>
      <c r="K24" s="44"/>
      <c r="L24" s="44"/>
      <c r="M24" s="44"/>
      <c r="N24" s="44"/>
      <c r="O24" s="55"/>
      <c r="P24" s="55"/>
      <c r="Q24" s="55"/>
      <c r="R24" s="55"/>
      <c r="S24" s="55"/>
      <c r="T24" s="55"/>
      <c r="U24" s="55"/>
      <c r="V24" s="55"/>
      <c r="W24" s="55"/>
      <c r="X24" s="55"/>
    </row>
    <row r="25" spans="1:25" x14ac:dyDescent="0.2">
      <c r="A25" s="56"/>
      <c r="B25" s="40" t="s">
        <v>119</v>
      </c>
      <c r="C25" s="57">
        <f>_xlfn.PERCENTILE.INC(C3:C18,0.95)*10</f>
        <v>680</v>
      </c>
      <c r="D25" s="57">
        <f t="shared" ref="D25:F25" si="27">_xlfn.PERCENTILE.INC(D3:D18,0.95)*10</f>
        <v>502.5</v>
      </c>
      <c r="E25" s="57">
        <f t="shared" si="27"/>
        <v>490</v>
      </c>
      <c r="F25" s="57">
        <f t="shared" si="27"/>
        <v>482.5</v>
      </c>
      <c r="G25" s="57">
        <f t="shared" ref="G25" si="28">_xlfn.PERCENTILE.INC(G3:G18,0.95)*10</f>
        <v>640</v>
      </c>
      <c r="H25" s="56"/>
      <c r="I25" s="36"/>
      <c r="J25" s="44"/>
      <c r="K25" s="44"/>
      <c r="L25" s="44"/>
      <c r="M25" s="44"/>
      <c r="N25" s="44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1:25" x14ac:dyDescent="0.2">
      <c r="A26" s="56" t="s">
        <v>84</v>
      </c>
      <c r="B26" s="39" t="s">
        <v>3</v>
      </c>
      <c r="C26" s="39">
        <v>55</v>
      </c>
      <c r="D26" s="39">
        <v>41.5</v>
      </c>
      <c r="E26" s="39">
        <v>43</v>
      </c>
      <c r="F26" s="39">
        <v>39</v>
      </c>
      <c r="G26" s="2">
        <v>48</v>
      </c>
      <c r="H26" s="56"/>
      <c r="I26" s="56"/>
      <c r="J26" s="56" t="str">
        <f t="shared" ref="J26:J41" si="29">IF(OR($I$3&lt;=0.88*E26*10,$I$3&gt;=0.95*10*E26),"miss","match")</f>
        <v>miss</v>
      </c>
      <c r="K26" s="56" t="str">
        <f t="shared" ref="K26:K41" si="30">IF(OR($I$4&lt;=0.8*D26*10,$I$4&gt;=0.95*10*D26),"miss","match")</f>
        <v>miss</v>
      </c>
      <c r="L26" s="56" t="str">
        <f t="shared" ref="L26:L41" si="31">IF(OR($I$5&lt;=1.1*F26*10,$I$5&gt;=1.3*10*F26),"miss","match")</f>
        <v>miss</v>
      </c>
      <c r="M26" s="56" t="str">
        <f t="shared" ref="M26:M41" si="32">IF(OR($I$6&lt;=0.6*C26*10,$I$6&gt;=0.8*10*C26),"miss","match")</f>
        <v>match</v>
      </c>
      <c r="N26" s="56" t="str">
        <f t="shared" ref="N26:N41" si="33">IF($I$7&lt;F26*10,"miss","match")</f>
        <v>match</v>
      </c>
      <c r="O26" s="55"/>
      <c r="P26" s="55" t="str">
        <f t="shared" ref="P26:P41" si="34">IF($I$3&lt;=0.8*10*E26,"miss","match")</f>
        <v>match</v>
      </c>
      <c r="Q26" s="55" t="str">
        <f t="shared" ref="Q26:Q41" si="35">IF($I$3&gt;=9.5*E26,"miss","match")</f>
        <v>miss</v>
      </c>
      <c r="R26" s="55" t="str">
        <f t="shared" ref="R26:R41" si="36">IF($I$4&lt;=8*D26,"miss","match")</f>
        <v>match</v>
      </c>
      <c r="S26" s="55" t="str">
        <f t="shared" ref="S26:S41" si="37">IF($I$4&gt;=9.5*D26,"miss","match")</f>
        <v>miss</v>
      </c>
      <c r="T26" s="55" t="str">
        <f t="shared" ref="T26:T41" si="38">IF($I$5&lt;=11*F26,"miss","match")</f>
        <v>match</v>
      </c>
      <c r="U26" s="55" t="str">
        <f t="shared" ref="U26:U41" si="39">IF($I$5&gt;=13*F26,"miss","match")</f>
        <v>miss</v>
      </c>
      <c r="V26" s="55" t="str">
        <f t="shared" ref="V26:V41" si="40">IF($I$6&lt;=6*C26,"miss","match")</f>
        <v>match</v>
      </c>
      <c r="W26" s="55" t="str">
        <f t="shared" ref="W26:W41" si="41">IF($I$6&gt;=8*C26,"miss","match")</f>
        <v>match</v>
      </c>
      <c r="X26" s="55" t="str">
        <f>IF($I$7&lt;=10*G26,"miss","match")</f>
        <v>miss</v>
      </c>
    </row>
    <row r="27" spans="1:25" x14ac:dyDescent="0.2">
      <c r="A27" s="56" t="s">
        <v>84</v>
      </c>
      <c r="B27" s="39" t="s">
        <v>4</v>
      </c>
      <c r="C27" s="39">
        <v>54.5</v>
      </c>
      <c r="D27" s="39">
        <v>46.5</v>
      </c>
      <c r="E27" s="39">
        <v>44</v>
      </c>
      <c r="F27" s="39">
        <v>42</v>
      </c>
      <c r="G27" s="2">
        <v>47</v>
      </c>
      <c r="H27" s="56"/>
      <c r="I27" s="56"/>
      <c r="J27" s="56" t="str">
        <f t="shared" si="29"/>
        <v>miss</v>
      </c>
      <c r="K27" s="56" t="str">
        <f t="shared" si="30"/>
        <v>miss</v>
      </c>
      <c r="L27" s="56" t="str">
        <f t="shared" si="31"/>
        <v>match</v>
      </c>
      <c r="M27" s="56" t="str">
        <f t="shared" si="32"/>
        <v>match</v>
      </c>
      <c r="N27" s="56" t="str">
        <f t="shared" si="33"/>
        <v>match</v>
      </c>
      <c r="O27" s="55"/>
      <c r="P27" s="55" t="str">
        <f t="shared" si="34"/>
        <v>match</v>
      </c>
      <c r="Q27" s="55" t="str">
        <f t="shared" si="35"/>
        <v>miss</v>
      </c>
      <c r="R27" s="55" t="str">
        <f t="shared" si="36"/>
        <v>match</v>
      </c>
      <c r="S27" s="55" t="str">
        <f t="shared" si="37"/>
        <v>miss</v>
      </c>
      <c r="T27" s="55" t="str">
        <f t="shared" si="38"/>
        <v>match</v>
      </c>
      <c r="U27" s="55" t="str">
        <f t="shared" si="39"/>
        <v>match</v>
      </c>
      <c r="V27" s="55" t="str">
        <f t="shared" si="40"/>
        <v>match</v>
      </c>
      <c r="W27" s="55" t="str">
        <f t="shared" si="41"/>
        <v>match</v>
      </c>
      <c r="X27" s="55" t="str">
        <f t="shared" ref="X27:X41" si="42">IF($I$7&lt;=10*G27,"miss","match")</f>
        <v>miss</v>
      </c>
    </row>
    <row r="28" spans="1:25" x14ac:dyDescent="0.2">
      <c r="A28" s="56" t="s">
        <v>84</v>
      </c>
      <c r="B28" s="39" t="s">
        <v>5</v>
      </c>
      <c r="C28" s="39">
        <v>57</v>
      </c>
      <c r="D28" s="39">
        <v>48</v>
      </c>
      <c r="E28" s="39">
        <v>42.5</v>
      </c>
      <c r="F28" s="39">
        <v>43</v>
      </c>
      <c r="G28" s="2">
        <v>54</v>
      </c>
      <c r="H28" s="56"/>
      <c r="I28" s="56"/>
      <c r="J28" s="56" t="str">
        <f t="shared" si="29"/>
        <v>miss</v>
      </c>
      <c r="K28" s="56" t="str">
        <f t="shared" si="30"/>
        <v>miss</v>
      </c>
      <c r="L28" s="56" t="str">
        <f t="shared" si="31"/>
        <v>match</v>
      </c>
      <c r="M28" s="56" t="str">
        <f t="shared" si="32"/>
        <v>match</v>
      </c>
      <c r="N28" s="56" t="str">
        <f t="shared" si="33"/>
        <v>match</v>
      </c>
      <c r="O28" s="55"/>
      <c r="P28" s="55" t="str">
        <f t="shared" si="34"/>
        <v>match</v>
      </c>
      <c r="Q28" s="55" t="str">
        <f t="shared" si="35"/>
        <v>miss</v>
      </c>
      <c r="R28" s="55" t="str">
        <f t="shared" si="36"/>
        <v>match</v>
      </c>
      <c r="S28" s="55" t="str">
        <f t="shared" si="37"/>
        <v>miss</v>
      </c>
      <c r="T28" s="55" t="str">
        <f t="shared" si="38"/>
        <v>match</v>
      </c>
      <c r="U28" s="55" t="str">
        <f t="shared" si="39"/>
        <v>match</v>
      </c>
      <c r="V28" s="55" t="str">
        <f t="shared" si="40"/>
        <v>match</v>
      </c>
      <c r="W28" s="55" t="str">
        <f t="shared" si="41"/>
        <v>match</v>
      </c>
      <c r="X28" s="55" t="str">
        <f t="shared" si="42"/>
        <v>miss</v>
      </c>
    </row>
    <row r="29" spans="1:25" x14ac:dyDescent="0.2">
      <c r="A29" s="56" t="s">
        <v>84</v>
      </c>
      <c r="B29" s="39" t="s">
        <v>14</v>
      </c>
      <c r="C29" s="39">
        <v>61.5</v>
      </c>
      <c r="D29" s="39">
        <v>49</v>
      </c>
      <c r="E29" s="39">
        <v>45</v>
      </c>
      <c r="F29" s="39">
        <v>41</v>
      </c>
      <c r="G29" s="2">
        <v>50</v>
      </c>
      <c r="H29" s="56"/>
      <c r="I29" s="56"/>
      <c r="J29" s="56" t="str">
        <f t="shared" si="29"/>
        <v>miss</v>
      </c>
      <c r="K29" s="56" t="str">
        <f t="shared" si="30"/>
        <v>miss</v>
      </c>
      <c r="L29" s="56" t="str">
        <f t="shared" si="31"/>
        <v>match</v>
      </c>
      <c r="M29" s="56" t="str">
        <f t="shared" si="32"/>
        <v>match</v>
      </c>
      <c r="N29" s="56" t="str">
        <f t="shared" si="33"/>
        <v>match</v>
      </c>
      <c r="O29" s="55"/>
      <c r="P29" s="55" t="str">
        <f t="shared" si="34"/>
        <v>match</v>
      </c>
      <c r="Q29" s="55" t="str">
        <f t="shared" si="35"/>
        <v>miss</v>
      </c>
      <c r="R29" s="55" t="str">
        <f t="shared" si="36"/>
        <v>match</v>
      </c>
      <c r="S29" s="55" t="str">
        <f t="shared" si="37"/>
        <v>miss</v>
      </c>
      <c r="T29" s="55" t="str">
        <f t="shared" si="38"/>
        <v>match</v>
      </c>
      <c r="U29" s="55" t="str">
        <f t="shared" si="39"/>
        <v>match</v>
      </c>
      <c r="V29" s="55" t="str">
        <f t="shared" si="40"/>
        <v>match</v>
      </c>
      <c r="W29" s="55" t="str">
        <f t="shared" si="41"/>
        <v>match</v>
      </c>
      <c r="X29" s="55" t="str">
        <f t="shared" si="42"/>
        <v>miss</v>
      </c>
    </row>
    <row r="30" spans="1:25" x14ac:dyDescent="0.2">
      <c r="A30" s="56" t="s">
        <v>84</v>
      </c>
      <c r="B30" s="39" t="s">
        <v>16</v>
      </c>
      <c r="C30" s="39">
        <v>58</v>
      </c>
      <c r="D30" s="39">
        <v>49</v>
      </c>
      <c r="E30" s="39">
        <v>46</v>
      </c>
      <c r="F30" s="39">
        <v>38</v>
      </c>
      <c r="G30" s="2">
        <v>60</v>
      </c>
      <c r="H30" s="56"/>
      <c r="I30" s="56"/>
      <c r="J30" s="56" t="str">
        <f t="shared" si="29"/>
        <v>miss</v>
      </c>
      <c r="K30" s="56" t="str">
        <f t="shared" si="30"/>
        <v>miss</v>
      </c>
      <c r="L30" s="56" t="str">
        <f t="shared" si="31"/>
        <v>miss</v>
      </c>
      <c r="M30" s="56" t="str">
        <f t="shared" si="32"/>
        <v>match</v>
      </c>
      <c r="N30" s="56" t="str">
        <f t="shared" si="33"/>
        <v>match</v>
      </c>
      <c r="O30" s="55"/>
      <c r="P30" s="55" t="str">
        <f t="shared" si="34"/>
        <v>match</v>
      </c>
      <c r="Q30" s="55" t="str">
        <f t="shared" si="35"/>
        <v>miss</v>
      </c>
      <c r="R30" s="55" t="str">
        <f t="shared" si="36"/>
        <v>match</v>
      </c>
      <c r="S30" s="55" t="str">
        <f t="shared" si="37"/>
        <v>miss</v>
      </c>
      <c r="T30" s="55" t="str">
        <f t="shared" si="38"/>
        <v>match</v>
      </c>
      <c r="U30" s="55" t="str">
        <f t="shared" si="39"/>
        <v>miss</v>
      </c>
      <c r="V30" s="55" t="str">
        <f t="shared" si="40"/>
        <v>match</v>
      </c>
      <c r="W30" s="55" t="str">
        <f t="shared" si="41"/>
        <v>match</v>
      </c>
      <c r="X30" s="55" t="str">
        <f t="shared" si="42"/>
        <v>miss</v>
      </c>
    </row>
    <row r="31" spans="1:25" x14ac:dyDescent="0.2">
      <c r="A31" s="56" t="s">
        <v>84</v>
      </c>
      <c r="B31" s="39" t="s">
        <v>18</v>
      </c>
      <c r="C31" s="39">
        <v>65</v>
      </c>
      <c r="D31" s="39">
        <v>50.5</v>
      </c>
      <c r="E31" s="39">
        <v>49.5</v>
      </c>
      <c r="F31" s="39">
        <v>41</v>
      </c>
      <c r="G31" s="2">
        <v>45.5</v>
      </c>
      <c r="H31" s="56"/>
      <c r="I31" s="56"/>
      <c r="J31" s="56" t="str">
        <f t="shared" si="29"/>
        <v>miss</v>
      </c>
      <c r="K31" s="56" t="str">
        <f t="shared" si="30"/>
        <v>match</v>
      </c>
      <c r="L31" s="56" t="str">
        <f t="shared" si="31"/>
        <v>match</v>
      </c>
      <c r="M31" s="56" t="str">
        <f t="shared" si="32"/>
        <v>match</v>
      </c>
      <c r="N31" s="56" t="str">
        <f t="shared" si="33"/>
        <v>match</v>
      </c>
      <c r="O31" s="55"/>
      <c r="P31" s="55" t="str">
        <f t="shared" si="34"/>
        <v>match</v>
      </c>
      <c r="Q31" s="55" t="str">
        <f t="shared" si="35"/>
        <v>miss</v>
      </c>
      <c r="R31" s="55" t="str">
        <f t="shared" si="36"/>
        <v>match</v>
      </c>
      <c r="S31" s="55" t="str">
        <f t="shared" si="37"/>
        <v>match</v>
      </c>
      <c r="T31" s="55" t="str">
        <f t="shared" si="38"/>
        <v>match</v>
      </c>
      <c r="U31" s="55" t="str">
        <f t="shared" si="39"/>
        <v>match</v>
      </c>
      <c r="V31" s="55" t="str">
        <f t="shared" si="40"/>
        <v>match</v>
      </c>
      <c r="W31" s="55" t="str">
        <f t="shared" si="41"/>
        <v>match</v>
      </c>
      <c r="X31" s="55" t="str">
        <f t="shared" si="42"/>
        <v>miss</v>
      </c>
    </row>
    <row r="32" spans="1:25" x14ac:dyDescent="0.2">
      <c r="A32" s="56" t="s">
        <v>84</v>
      </c>
      <c r="B32" s="39" t="s">
        <v>20</v>
      </c>
      <c r="C32" s="39">
        <v>56</v>
      </c>
      <c r="D32" s="39">
        <v>41.5</v>
      </c>
      <c r="E32" s="39">
        <v>43.5</v>
      </c>
      <c r="F32" s="39">
        <v>40</v>
      </c>
      <c r="G32" s="2">
        <v>40</v>
      </c>
      <c r="H32" s="56"/>
      <c r="I32" s="56"/>
      <c r="J32" s="56" t="str">
        <f t="shared" si="29"/>
        <v>miss</v>
      </c>
      <c r="K32" s="56" t="str">
        <f t="shared" si="30"/>
        <v>miss</v>
      </c>
      <c r="L32" s="56" t="str">
        <f t="shared" si="31"/>
        <v>match</v>
      </c>
      <c r="M32" s="56" t="str">
        <f t="shared" si="32"/>
        <v>match</v>
      </c>
      <c r="N32" s="56" t="str">
        <f t="shared" si="33"/>
        <v>match</v>
      </c>
      <c r="O32" s="55"/>
      <c r="P32" s="55" t="str">
        <f t="shared" si="34"/>
        <v>match</v>
      </c>
      <c r="Q32" s="55" t="str">
        <f t="shared" si="35"/>
        <v>miss</v>
      </c>
      <c r="R32" s="55" t="str">
        <f t="shared" si="36"/>
        <v>match</v>
      </c>
      <c r="S32" s="55" t="str">
        <f t="shared" si="37"/>
        <v>miss</v>
      </c>
      <c r="T32" s="55" t="str">
        <f t="shared" si="38"/>
        <v>match</v>
      </c>
      <c r="U32" s="55" t="str">
        <f t="shared" si="39"/>
        <v>match</v>
      </c>
      <c r="V32" s="55" t="str">
        <f t="shared" si="40"/>
        <v>match</v>
      </c>
      <c r="W32" s="55" t="str">
        <f t="shared" si="41"/>
        <v>match</v>
      </c>
      <c r="X32" s="55" t="str">
        <f t="shared" si="42"/>
        <v>match</v>
      </c>
    </row>
    <row r="33" spans="1:24" x14ac:dyDescent="0.2">
      <c r="A33" s="56" t="s">
        <v>84</v>
      </c>
      <c r="B33" s="39" t="s">
        <v>21</v>
      </c>
      <c r="C33" s="39">
        <v>53</v>
      </c>
      <c r="D33" s="39">
        <v>45</v>
      </c>
      <c r="E33" s="39">
        <v>42</v>
      </c>
      <c r="F33" s="39">
        <v>44</v>
      </c>
      <c r="G33" s="2">
        <v>40.5</v>
      </c>
      <c r="H33" s="56"/>
      <c r="I33" s="56"/>
      <c r="J33" s="56" t="str">
        <f t="shared" si="29"/>
        <v>miss</v>
      </c>
      <c r="K33" s="56" t="str">
        <f t="shared" si="30"/>
        <v>miss</v>
      </c>
      <c r="L33" s="56" t="str">
        <f t="shared" si="31"/>
        <v>match</v>
      </c>
      <c r="M33" s="56" t="str">
        <f t="shared" si="32"/>
        <v>miss</v>
      </c>
      <c r="N33" s="56" t="str">
        <f t="shared" si="33"/>
        <v>match</v>
      </c>
      <c r="O33" s="55"/>
      <c r="P33" s="55" t="str">
        <f t="shared" si="34"/>
        <v>match</v>
      </c>
      <c r="Q33" s="55" t="str">
        <f t="shared" si="35"/>
        <v>miss</v>
      </c>
      <c r="R33" s="55" t="str">
        <f t="shared" si="36"/>
        <v>match</v>
      </c>
      <c r="S33" s="55" t="str">
        <f t="shared" si="37"/>
        <v>miss</v>
      </c>
      <c r="T33" s="55" t="str">
        <f t="shared" si="38"/>
        <v>match</v>
      </c>
      <c r="U33" s="55" t="str">
        <f t="shared" si="39"/>
        <v>match</v>
      </c>
      <c r="V33" s="55" t="str">
        <f t="shared" si="40"/>
        <v>match</v>
      </c>
      <c r="W33" s="55" t="str">
        <f t="shared" si="41"/>
        <v>miss</v>
      </c>
      <c r="X33" s="55" t="str">
        <f t="shared" si="42"/>
        <v>match</v>
      </c>
    </row>
    <row r="34" spans="1:24" x14ac:dyDescent="0.2">
      <c r="A34" s="56" t="s">
        <v>84</v>
      </c>
      <c r="B34" s="39" t="s">
        <v>22</v>
      </c>
      <c r="C34" s="39">
        <v>50.5</v>
      </c>
      <c r="D34" s="39">
        <v>40.5</v>
      </c>
      <c r="E34" s="39">
        <v>42</v>
      </c>
      <c r="F34" s="39">
        <v>39</v>
      </c>
      <c r="G34" s="2">
        <v>37</v>
      </c>
      <c r="H34" s="56"/>
      <c r="I34" s="56"/>
      <c r="J34" s="56" t="str">
        <f t="shared" si="29"/>
        <v>miss</v>
      </c>
      <c r="K34" s="56" t="str">
        <f t="shared" si="30"/>
        <v>miss</v>
      </c>
      <c r="L34" s="56" t="str">
        <f t="shared" si="31"/>
        <v>miss</v>
      </c>
      <c r="M34" s="56" t="str">
        <f t="shared" si="32"/>
        <v>miss</v>
      </c>
      <c r="N34" s="56" t="str">
        <f t="shared" si="33"/>
        <v>match</v>
      </c>
      <c r="O34" s="55"/>
      <c r="P34" s="55" t="str">
        <f t="shared" si="34"/>
        <v>match</v>
      </c>
      <c r="Q34" s="55" t="str">
        <f t="shared" si="35"/>
        <v>miss</v>
      </c>
      <c r="R34" s="55" t="str">
        <f t="shared" si="36"/>
        <v>match</v>
      </c>
      <c r="S34" s="55" t="str">
        <f t="shared" si="37"/>
        <v>miss</v>
      </c>
      <c r="T34" s="55" t="str">
        <f t="shared" si="38"/>
        <v>match</v>
      </c>
      <c r="U34" s="55" t="str">
        <f t="shared" si="39"/>
        <v>miss</v>
      </c>
      <c r="V34" s="55" t="str">
        <f t="shared" si="40"/>
        <v>match</v>
      </c>
      <c r="W34" s="55" t="str">
        <f t="shared" si="41"/>
        <v>miss</v>
      </c>
      <c r="X34" s="55" t="str">
        <f t="shared" si="42"/>
        <v>match</v>
      </c>
    </row>
    <row r="35" spans="1:24" x14ac:dyDescent="0.2">
      <c r="A35" s="56" t="s">
        <v>84</v>
      </c>
      <c r="B35" s="39" t="s">
        <v>23</v>
      </c>
      <c r="C35" s="39">
        <v>53.5</v>
      </c>
      <c r="D35" s="39">
        <v>36.5</v>
      </c>
      <c r="E35" s="39">
        <v>40.5</v>
      </c>
      <c r="F35" s="39">
        <v>44</v>
      </c>
      <c r="G35" s="2">
        <v>43.5</v>
      </c>
      <c r="H35" s="56"/>
      <c r="I35" s="56"/>
      <c r="J35" s="56" t="str">
        <f t="shared" si="29"/>
        <v>miss</v>
      </c>
      <c r="K35" s="56" t="str">
        <f t="shared" si="30"/>
        <v>miss</v>
      </c>
      <c r="L35" s="56" t="str">
        <f t="shared" si="31"/>
        <v>match</v>
      </c>
      <c r="M35" s="56" t="str">
        <f t="shared" si="32"/>
        <v>miss</v>
      </c>
      <c r="N35" s="56" t="str">
        <f t="shared" si="33"/>
        <v>match</v>
      </c>
      <c r="O35" s="55"/>
      <c r="P35" s="55" t="str">
        <f t="shared" si="34"/>
        <v>match</v>
      </c>
      <c r="Q35" s="55" t="str">
        <f t="shared" si="35"/>
        <v>miss</v>
      </c>
      <c r="R35" s="55" t="str">
        <f t="shared" si="36"/>
        <v>match</v>
      </c>
      <c r="S35" s="55" t="str">
        <f t="shared" si="37"/>
        <v>miss</v>
      </c>
      <c r="T35" s="55" t="str">
        <f t="shared" si="38"/>
        <v>match</v>
      </c>
      <c r="U35" s="55" t="str">
        <f t="shared" si="39"/>
        <v>match</v>
      </c>
      <c r="V35" s="55" t="str">
        <f t="shared" si="40"/>
        <v>match</v>
      </c>
      <c r="W35" s="55" t="str">
        <f t="shared" si="41"/>
        <v>miss</v>
      </c>
      <c r="X35" s="55" t="str">
        <f t="shared" si="42"/>
        <v>match</v>
      </c>
    </row>
    <row r="36" spans="1:24" x14ac:dyDescent="0.2">
      <c r="A36" s="56" t="s">
        <v>84</v>
      </c>
      <c r="B36" s="39" t="s">
        <v>25</v>
      </c>
      <c r="C36" s="39">
        <v>55</v>
      </c>
      <c r="D36" s="39">
        <v>44.5</v>
      </c>
      <c r="E36" s="39">
        <v>40.5</v>
      </c>
      <c r="F36" s="39">
        <v>39.5</v>
      </c>
      <c r="G36" s="2">
        <v>40.5</v>
      </c>
      <c r="H36" s="56"/>
      <c r="I36" s="56"/>
      <c r="J36" s="56" t="str">
        <f t="shared" si="29"/>
        <v>miss</v>
      </c>
      <c r="K36" s="56" t="str">
        <f t="shared" si="30"/>
        <v>miss</v>
      </c>
      <c r="L36" s="56" t="str">
        <f t="shared" si="31"/>
        <v>miss</v>
      </c>
      <c r="M36" s="56" t="str">
        <f t="shared" si="32"/>
        <v>match</v>
      </c>
      <c r="N36" s="56" t="str">
        <f t="shared" si="33"/>
        <v>match</v>
      </c>
      <c r="O36" s="55"/>
      <c r="P36" s="55" t="str">
        <f t="shared" si="34"/>
        <v>match</v>
      </c>
      <c r="Q36" s="55" t="str">
        <f t="shared" si="35"/>
        <v>miss</v>
      </c>
      <c r="R36" s="55" t="str">
        <f t="shared" si="36"/>
        <v>match</v>
      </c>
      <c r="S36" s="55" t="str">
        <f t="shared" si="37"/>
        <v>miss</v>
      </c>
      <c r="T36" s="55" t="str">
        <f t="shared" si="38"/>
        <v>match</v>
      </c>
      <c r="U36" s="55" t="str">
        <f t="shared" si="39"/>
        <v>miss</v>
      </c>
      <c r="V36" s="55" t="str">
        <f t="shared" si="40"/>
        <v>match</v>
      </c>
      <c r="W36" s="55" t="str">
        <f t="shared" si="41"/>
        <v>match</v>
      </c>
      <c r="X36" s="55" t="str">
        <f t="shared" si="42"/>
        <v>match</v>
      </c>
    </row>
    <row r="37" spans="1:24" x14ac:dyDescent="0.2">
      <c r="A37" s="56" t="s">
        <v>84</v>
      </c>
      <c r="B37" s="39" t="s">
        <v>26</v>
      </c>
      <c r="C37" s="39">
        <v>60</v>
      </c>
      <c r="D37" s="39">
        <v>48</v>
      </c>
      <c r="E37" s="39">
        <v>43</v>
      </c>
      <c r="F37" s="39">
        <v>46</v>
      </c>
      <c r="G37" s="2">
        <v>57.5</v>
      </c>
      <c r="H37" s="56"/>
      <c r="I37" s="56"/>
      <c r="J37" s="56" t="str">
        <f t="shared" si="29"/>
        <v>miss</v>
      </c>
      <c r="K37" s="56" t="str">
        <f t="shared" si="30"/>
        <v>miss</v>
      </c>
      <c r="L37" s="56" t="str">
        <f t="shared" si="31"/>
        <v>match</v>
      </c>
      <c r="M37" s="56" t="str">
        <f t="shared" si="32"/>
        <v>match</v>
      </c>
      <c r="N37" s="56" t="str">
        <f t="shared" si="33"/>
        <v>miss</v>
      </c>
      <c r="O37" s="55"/>
      <c r="P37" s="55" t="str">
        <f t="shared" si="34"/>
        <v>match</v>
      </c>
      <c r="Q37" s="55" t="str">
        <f t="shared" si="35"/>
        <v>miss</v>
      </c>
      <c r="R37" s="55" t="str">
        <f t="shared" si="36"/>
        <v>match</v>
      </c>
      <c r="S37" s="55" t="str">
        <f t="shared" si="37"/>
        <v>miss</v>
      </c>
      <c r="T37" s="55" t="str">
        <f t="shared" si="38"/>
        <v>match</v>
      </c>
      <c r="U37" s="55" t="str">
        <f t="shared" si="39"/>
        <v>match</v>
      </c>
      <c r="V37" s="55" t="str">
        <f t="shared" si="40"/>
        <v>match</v>
      </c>
      <c r="W37" s="55" t="str">
        <f t="shared" si="41"/>
        <v>match</v>
      </c>
      <c r="X37" s="55" t="str">
        <f t="shared" si="42"/>
        <v>miss</v>
      </c>
    </row>
    <row r="38" spans="1:24" x14ac:dyDescent="0.2">
      <c r="A38" s="56" t="s">
        <v>84</v>
      </c>
      <c r="B38" s="39" t="s">
        <v>27</v>
      </c>
      <c r="C38" s="39">
        <v>56.5</v>
      </c>
      <c r="D38" s="39">
        <v>51</v>
      </c>
      <c r="E38" s="39">
        <v>47</v>
      </c>
      <c r="F38" s="39">
        <v>42</v>
      </c>
      <c r="G38" s="2">
        <v>53</v>
      </c>
      <c r="H38" s="56"/>
      <c r="I38" s="56"/>
      <c r="J38" s="56" t="str">
        <f t="shared" si="29"/>
        <v>miss</v>
      </c>
      <c r="K38" s="56" t="str">
        <f t="shared" si="30"/>
        <v>match</v>
      </c>
      <c r="L38" s="56" t="str">
        <f t="shared" si="31"/>
        <v>match</v>
      </c>
      <c r="M38" s="56" t="str">
        <f t="shared" si="32"/>
        <v>match</v>
      </c>
      <c r="N38" s="56" t="str">
        <f t="shared" si="33"/>
        <v>match</v>
      </c>
      <c r="O38" s="55"/>
      <c r="P38" s="55" t="str">
        <f t="shared" si="34"/>
        <v>match</v>
      </c>
      <c r="Q38" s="55" t="str">
        <f t="shared" si="35"/>
        <v>miss</v>
      </c>
      <c r="R38" s="55" t="str">
        <f t="shared" si="36"/>
        <v>match</v>
      </c>
      <c r="S38" s="55" t="str">
        <f t="shared" si="37"/>
        <v>match</v>
      </c>
      <c r="T38" s="55" t="str">
        <f t="shared" si="38"/>
        <v>match</v>
      </c>
      <c r="U38" s="55" t="str">
        <f t="shared" si="39"/>
        <v>match</v>
      </c>
      <c r="V38" s="55" t="str">
        <f t="shared" si="40"/>
        <v>match</v>
      </c>
      <c r="W38" s="55" t="str">
        <f t="shared" si="41"/>
        <v>match</v>
      </c>
      <c r="X38" s="55" t="str">
        <f t="shared" si="42"/>
        <v>miss</v>
      </c>
    </row>
    <row r="39" spans="1:24" x14ac:dyDescent="0.2">
      <c r="A39" s="56" t="s">
        <v>84</v>
      </c>
      <c r="B39" s="39" t="s">
        <v>28</v>
      </c>
      <c r="C39" s="39">
        <v>54.5</v>
      </c>
      <c r="D39" s="39">
        <v>47</v>
      </c>
      <c r="E39" s="39">
        <v>43</v>
      </c>
      <c r="F39" s="39">
        <v>38</v>
      </c>
      <c r="G39" s="2">
        <v>53</v>
      </c>
      <c r="H39" s="56"/>
      <c r="I39" s="56"/>
      <c r="J39" s="56" t="str">
        <f t="shared" si="29"/>
        <v>miss</v>
      </c>
      <c r="K39" s="56" t="str">
        <f t="shared" si="30"/>
        <v>miss</v>
      </c>
      <c r="L39" s="56" t="str">
        <f t="shared" si="31"/>
        <v>miss</v>
      </c>
      <c r="M39" s="56" t="str">
        <f t="shared" si="32"/>
        <v>match</v>
      </c>
      <c r="N39" s="56" t="str">
        <f t="shared" si="33"/>
        <v>match</v>
      </c>
      <c r="O39" s="55"/>
      <c r="P39" s="55" t="str">
        <f t="shared" si="34"/>
        <v>match</v>
      </c>
      <c r="Q39" s="55" t="str">
        <f t="shared" si="35"/>
        <v>miss</v>
      </c>
      <c r="R39" s="55" t="str">
        <f t="shared" si="36"/>
        <v>match</v>
      </c>
      <c r="S39" s="55" t="str">
        <f t="shared" si="37"/>
        <v>miss</v>
      </c>
      <c r="T39" s="55" t="str">
        <f t="shared" si="38"/>
        <v>match</v>
      </c>
      <c r="U39" s="55" t="str">
        <f t="shared" si="39"/>
        <v>miss</v>
      </c>
      <c r="V39" s="55" t="str">
        <f t="shared" si="40"/>
        <v>match</v>
      </c>
      <c r="W39" s="55" t="str">
        <f t="shared" si="41"/>
        <v>match</v>
      </c>
      <c r="X39" s="55" t="str">
        <f t="shared" si="42"/>
        <v>miss</v>
      </c>
    </row>
    <row r="40" spans="1:24" x14ac:dyDescent="0.2">
      <c r="A40" s="56" t="s">
        <v>84</v>
      </c>
      <c r="B40" s="39" t="s">
        <v>29</v>
      </c>
      <c r="C40" s="39">
        <v>54</v>
      </c>
      <c r="D40" s="39">
        <v>47</v>
      </c>
      <c r="E40" s="39">
        <v>43</v>
      </c>
      <c r="F40" s="39">
        <v>34</v>
      </c>
      <c r="G40" s="2">
        <v>52</v>
      </c>
      <c r="H40" s="56"/>
      <c r="I40" s="56"/>
      <c r="J40" s="56" t="str">
        <f t="shared" si="29"/>
        <v>miss</v>
      </c>
      <c r="K40" s="56" t="str">
        <f t="shared" si="30"/>
        <v>miss</v>
      </c>
      <c r="L40" s="56" t="str">
        <f t="shared" si="31"/>
        <v>miss</v>
      </c>
      <c r="M40" s="56" t="str">
        <f t="shared" si="32"/>
        <v>miss</v>
      </c>
      <c r="N40" s="56" t="str">
        <f t="shared" si="33"/>
        <v>match</v>
      </c>
      <c r="O40" s="55"/>
      <c r="P40" s="55" t="str">
        <f t="shared" si="34"/>
        <v>match</v>
      </c>
      <c r="Q40" s="55" t="str">
        <f t="shared" si="35"/>
        <v>miss</v>
      </c>
      <c r="R40" s="55" t="str">
        <f t="shared" si="36"/>
        <v>match</v>
      </c>
      <c r="S40" s="55" t="str">
        <f t="shared" si="37"/>
        <v>miss</v>
      </c>
      <c r="T40" s="55" t="str">
        <f t="shared" si="38"/>
        <v>match</v>
      </c>
      <c r="U40" s="55" t="str">
        <f t="shared" si="39"/>
        <v>miss</v>
      </c>
      <c r="V40" s="55" t="str">
        <f t="shared" si="40"/>
        <v>match</v>
      </c>
      <c r="W40" s="55" t="str">
        <f t="shared" si="41"/>
        <v>miss</v>
      </c>
      <c r="X40" s="55" t="str">
        <f t="shared" si="42"/>
        <v>miss</v>
      </c>
    </row>
    <row r="41" spans="1:24" x14ac:dyDescent="0.2">
      <c r="A41" s="56" t="s">
        <v>84</v>
      </c>
      <c r="B41" s="39" t="s">
        <v>30</v>
      </c>
      <c r="C41" s="39">
        <v>50.5</v>
      </c>
      <c r="D41" s="39">
        <v>47.5</v>
      </c>
      <c r="E41" s="39">
        <v>42</v>
      </c>
      <c r="F41" s="39">
        <v>37.5</v>
      </c>
      <c r="G41" s="2">
        <v>51</v>
      </c>
      <c r="H41" s="56"/>
      <c r="I41" s="56"/>
      <c r="J41" s="56" t="str">
        <f t="shared" si="29"/>
        <v>miss</v>
      </c>
      <c r="K41" s="56" t="str">
        <f t="shared" si="30"/>
        <v>miss</v>
      </c>
      <c r="L41" s="56" t="str">
        <f t="shared" si="31"/>
        <v>miss</v>
      </c>
      <c r="M41" s="56" t="str">
        <f t="shared" si="32"/>
        <v>miss</v>
      </c>
      <c r="N41" s="56" t="str">
        <f t="shared" si="33"/>
        <v>match</v>
      </c>
      <c r="O41" s="55"/>
      <c r="P41" s="55" t="str">
        <f t="shared" si="34"/>
        <v>match</v>
      </c>
      <c r="Q41" s="55" t="str">
        <f t="shared" si="35"/>
        <v>miss</v>
      </c>
      <c r="R41" s="55" t="str">
        <f t="shared" si="36"/>
        <v>match</v>
      </c>
      <c r="S41" s="55" t="str">
        <f t="shared" si="37"/>
        <v>miss</v>
      </c>
      <c r="T41" s="55" t="str">
        <f t="shared" si="38"/>
        <v>match</v>
      </c>
      <c r="U41" s="55" t="str">
        <f t="shared" si="39"/>
        <v>miss</v>
      </c>
      <c r="V41" s="55" t="str">
        <f t="shared" si="40"/>
        <v>match</v>
      </c>
      <c r="W41" s="55" t="str">
        <f t="shared" si="41"/>
        <v>miss</v>
      </c>
      <c r="X41" s="55" t="str">
        <f t="shared" si="42"/>
        <v>miss</v>
      </c>
    </row>
    <row r="42" spans="1:24" x14ac:dyDescent="0.2">
      <c r="A42" s="56"/>
      <c r="B42" s="40" t="s">
        <v>97</v>
      </c>
      <c r="C42" s="36">
        <f>MAX(C26:C41)*10</f>
        <v>650</v>
      </c>
      <c r="D42" s="36">
        <f t="shared" ref="D42:G42" si="43">MAX(D26:D41)*10</f>
        <v>510</v>
      </c>
      <c r="E42" s="36">
        <f t="shared" si="43"/>
        <v>495</v>
      </c>
      <c r="F42" s="36">
        <f t="shared" si="43"/>
        <v>460</v>
      </c>
      <c r="G42" s="36">
        <f t="shared" si="43"/>
        <v>600</v>
      </c>
      <c r="H42" s="56"/>
      <c r="I42" s="36" t="s">
        <v>117</v>
      </c>
      <c r="J42" s="44">
        <f>P42+Q42</f>
        <v>1</v>
      </c>
      <c r="K42" s="44">
        <f>R42+S42</f>
        <v>0.875</v>
      </c>
      <c r="L42" s="44">
        <f>T42+U42</f>
        <v>0.4375</v>
      </c>
      <c r="M42" s="44">
        <f>V42+W42</f>
        <v>0.3125</v>
      </c>
      <c r="N42" s="44">
        <f>X42</f>
        <v>0.6875</v>
      </c>
      <c r="O42" s="55"/>
      <c r="P42" s="44">
        <f t="shared" ref="P42:X42" si="44">COUNTIF(P26:P41,"=miss")/16</f>
        <v>0</v>
      </c>
      <c r="Q42" s="44">
        <f t="shared" si="44"/>
        <v>1</v>
      </c>
      <c r="R42" s="44">
        <f t="shared" si="44"/>
        <v>0</v>
      </c>
      <c r="S42" s="44">
        <f t="shared" si="44"/>
        <v>0.875</v>
      </c>
      <c r="T42" s="44">
        <f t="shared" si="44"/>
        <v>0</v>
      </c>
      <c r="U42" s="44">
        <f t="shared" si="44"/>
        <v>0.4375</v>
      </c>
      <c r="V42" s="44">
        <f t="shared" si="44"/>
        <v>0</v>
      </c>
      <c r="W42" s="44">
        <f t="shared" si="44"/>
        <v>0.3125</v>
      </c>
      <c r="X42" s="44">
        <f t="shared" si="44"/>
        <v>0.6875</v>
      </c>
    </row>
    <row r="43" spans="1:24" x14ac:dyDescent="0.2">
      <c r="A43" s="56"/>
      <c r="B43" s="40" t="s">
        <v>98</v>
      </c>
      <c r="C43" s="36">
        <f>MIN(C26:C41)*10</f>
        <v>505</v>
      </c>
      <c r="D43" s="36">
        <f t="shared" ref="D43:G43" si="45">MIN(D26:D41)*10</f>
        <v>365</v>
      </c>
      <c r="E43" s="36">
        <f t="shared" si="45"/>
        <v>405</v>
      </c>
      <c r="F43" s="36">
        <f t="shared" si="45"/>
        <v>340</v>
      </c>
      <c r="G43" s="36">
        <f t="shared" si="45"/>
        <v>370</v>
      </c>
      <c r="H43" s="56"/>
      <c r="I43" s="36" t="s">
        <v>118</v>
      </c>
      <c r="J43" s="44">
        <f>AVERAGE(J42,J19)</f>
        <v>1</v>
      </c>
      <c r="K43" s="44">
        <f t="shared" ref="K43:N43" si="46">AVERAGE(K42,K19)</f>
        <v>0.90625</v>
      </c>
      <c r="L43" s="44">
        <f t="shared" si="46"/>
        <v>0.28125</v>
      </c>
      <c r="M43" s="44">
        <f t="shared" si="46"/>
        <v>0.15625</v>
      </c>
      <c r="N43" s="44">
        <f t="shared" si="46"/>
        <v>0.71875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24" x14ac:dyDescent="0.2">
      <c r="A44" s="56"/>
      <c r="B44" s="40" t="s">
        <v>99</v>
      </c>
      <c r="C44" s="57">
        <f>AVERAGE(C26:C41)*10</f>
        <v>559.0625</v>
      </c>
      <c r="D44" s="57">
        <f t="shared" ref="D44:G44" si="47">AVERAGE(D26:D41)*10</f>
        <v>458.125</v>
      </c>
      <c r="E44" s="57">
        <f t="shared" si="47"/>
        <v>435.3125</v>
      </c>
      <c r="F44" s="57">
        <f t="shared" si="47"/>
        <v>405</v>
      </c>
      <c r="G44" s="57">
        <f t="shared" si="47"/>
        <v>482.8125</v>
      </c>
      <c r="H44" s="56"/>
      <c r="I44" s="56"/>
      <c r="J44" s="61">
        <f>1-J43</f>
        <v>0</v>
      </c>
      <c r="K44" s="61">
        <f t="shared" ref="K44:N44" si="48">1-K43</f>
        <v>9.375E-2</v>
      </c>
      <c r="L44" s="61">
        <f t="shared" si="48"/>
        <v>0.71875</v>
      </c>
      <c r="M44" s="61">
        <f t="shared" si="48"/>
        <v>0.84375</v>
      </c>
      <c r="N44" s="61">
        <f t="shared" si="48"/>
        <v>0.28125</v>
      </c>
      <c r="O44" s="55"/>
      <c r="P44" s="55"/>
      <c r="Q44" s="55"/>
      <c r="R44" s="55"/>
      <c r="S44" s="55"/>
      <c r="T44" s="55"/>
      <c r="U44" s="55"/>
      <c r="V44" s="55"/>
      <c r="W44" s="55"/>
      <c r="X44" s="55"/>
    </row>
    <row r="45" spans="1:24" x14ac:dyDescent="0.2">
      <c r="A45" s="56"/>
      <c r="B45" s="40" t="s">
        <v>100</v>
      </c>
      <c r="C45" s="57">
        <f>_xlfn.STDEV.S(C26:C41)*10</f>
        <v>38.175854061609854</v>
      </c>
      <c r="D45" s="57">
        <f t="shared" ref="D45:G45" si="49">_xlfn.STDEV.S(D26:D41)*10</f>
        <v>39.953097501945955</v>
      </c>
      <c r="E45" s="57">
        <f t="shared" si="49"/>
        <v>23.626873823395819</v>
      </c>
      <c r="F45" s="57">
        <f t="shared" si="49"/>
        <v>30.055504210266268</v>
      </c>
      <c r="G45" s="57">
        <f t="shared" si="49"/>
        <v>66.981807231516228</v>
      </c>
      <c r="H45" s="56"/>
      <c r="I45" s="56"/>
      <c r="J45" s="56"/>
      <c r="K45" s="56"/>
      <c r="L45" s="56"/>
      <c r="M45" s="56"/>
      <c r="N45" s="56"/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 spans="1:24" x14ac:dyDescent="0.2">
      <c r="A46" s="56"/>
      <c r="B46" s="40" t="s">
        <v>101</v>
      </c>
      <c r="C46" s="57">
        <f>_xlfn.PERCENTILE.INC(C26:C41,0.05)*10</f>
        <v>505</v>
      </c>
      <c r="D46" s="57">
        <f t="shared" ref="D46:G46" si="50">_xlfn.PERCENTILE.INC(D26:D41,0.05)*10</f>
        <v>395</v>
      </c>
      <c r="E46" s="57">
        <f t="shared" si="50"/>
        <v>405</v>
      </c>
      <c r="F46" s="57">
        <f t="shared" si="50"/>
        <v>366.25</v>
      </c>
      <c r="G46" s="57">
        <f t="shared" si="50"/>
        <v>392.5</v>
      </c>
      <c r="H46" s="56"/>
      <c r="I46" s="56"/>
      <c r="J46" s="56"/>
      <c r="K46" s="56"/>
      <c r="L46" s="56"/>
      <c r="M46" s="56"/>
      <c r="N46" s="56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x14ac:dyDescent="0.2">
      <c r="A47" s="56"/>
      <c r="B47" s="40" t="s">
        <v>102</v>
      </c>
      <c r="C47" s="57">
        <f>_xlfn.PERCENTILE.INC(C26:C41,0.5)*10</f>
        <v>550</v>
      </c>
      <c r="D47" s="57">
        <f t="shared" ref="D47:G47" si="51">_xlfn.PERCENTILE.INC(D26:D41,0.5)*10</f>
        <v>470</v>
      </c>
      <c r="E47" s="57">
        <f t="shared" si="51"/>
        <v>430</v>
      </c>
      <c r="F47" s="57">
        <f t="shared" si="51"/>
        <v>405</v>
      </c>
      <c r="G47" s="57">
        <f t="shared" si="51"/>
        <v>490</v>
      </c>
      <c r="H47" s="56"/>
      <c r="I47" s="56"/>
      <c r="J47" s="56"/>
      <c r="K47" s="56"/>
      <c r="L47" s="56"/>
      <c r="M47" s="56"/>
      <c r="N47" s="56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24" x14ac:dyDescent="0.2">
      <c r="A48" s="56"/>
      <c r="B48" s="40" t="s">
        <v>119</v>
      </c>
      <c r="C48" s="57">
        <f>_xlfn.PERCENTILE.INC(C26:C41,0.95)*10</f>
        <v>623.75</v>
      </c>
      <c r="D48" s="57">
        <f t="shared" ref="D48:G48" si="52">_xlfn.PERCENTILE.INC(D26:D41,0.95)*10</f>
        <v>506.25</v>
      </c>
      <c r="E48" s="57">
        <f t="shared" si="52"/>
        <v>476.25</v>
      </c>
      <c r="F48" s="57">
        <f t="shared" si="52"/>
        <v>445</v>
      </c>
      <c r="G48" s="57">
        <f t="shared" si="52"/>
        <v>581.25</v>
      </c>
      <c r="H48" s="56"/>
      <c r="I48" s="56"/>
      <c r="J48" s="56"/>
      <c r="K48" s="56"/>
      <c r="L48" s="56"/>
      <c r="M48" s="56"/>
      <c r="N48" s="56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 spans="1:24" x14ac:dyDescent="0.2">
      <c r="A49" s="55"/>
      <c r="B49" s="40"/>
      <c r="C49" s="36"/>
      <c r="D49" s="36"/>
      <c r="E49" s="36"/>
      <c r="F49" s="36"/>
      <c r="G49" s="36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</row>
    <row r="50" spans="1:24" x14ac:dyDescent="0.2">
      <c r="A50" s="55"/>
      <c r="B50" s="40"/>
      <c r="C50" s="36"/>
      <c r="D50" s="36"/>
      <c r="E50" s="36"/>
      <c r="F50" s="36"/>
      <c r="G50" s="36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 spans="1:24" x14ac:dyDescent="0.2">
      <c r="A51" s="55"/>
      <c r="B51" s="40"/>
      <c r="C51" s="57"/>
      <c r="D51" s="57"/>
      <c r="E51" s="57"/>
      <c r="F51" s="57"/>
      <c r="G51" s="57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 spans="1:24" x14ac:dyDescent="0.2">
      <c r="A52" s="55"/>
      <c r="B52" s="40"/>
      <c r="C52" s="57"/>
      <c r="D52" s="57"/>
      <c r="E52" s="57"/>
      <c r="F52" s="57"/>
      <c r="G52" s="57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 x14ac:dyDescent="0.2">
      <c r="A53" s="55"/>
      <c r="B53" s="40"/>
      <c r="C53" s="57"/>
      <c r="D53" s="57"/>
      <c r="E53" s="57"/>
      <c r="F53" s="57"/>
      <c r="G53" s="57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 spans="1:24" x14ac:dyDescent="0.2">
      <c r="A54" s="55"/>
      <c r="B54" s="40"/>
      <c r="C54" s="57"/>
      <c r="D54" s="57"/>
      <c r="E54" s="57"/>
      <c r="F54" s="57"/>
      <c r="G54" s="57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</row>
    <row r="55" spans="1:24" x14ac:dyDescent="0.2">
      <c r="A55" s="55"/>
      <c r="B55" s="40"/>
      <c r="C55" s="57"/>
      <c r="D55" s="57"/>
      <c r="E55" s="57"/>
      <c r="F55" s="57"/>
      <c r="G55" s="57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</row>
    <row r="56" spans="1:24" x14ac:dyDescent="0.2">
      <c r="A56" s="55"/>
      <c r="B56" s="55"/>
      <c r="C56" s="55"/>
      <c r="D56" s="55"/>
      <c r="E56" s="55"/>
      <c r="F56" s="55"/>
      <c r="G56" s="55"/>
      <c r="H56" s="55"/>
      <c r="I56" s="46" t="s">
        <v>95</v>
      </c>
      <c r="J56" s="65" t="s">
        <v>33</v>
      </c>
      <c r="K56" s="65"/>
      <c r="L56" s="65" t="s">
        <v>35</v>
      </c>
      <c r="M56" s="65"/>
      <c r="N56" s="65" t="s">
        <v>37</v>
      </c>
      <c r="O56" s="65"/>
      <c r="P56" s="65" t="s">
        <v>39</v>
      </c>
      <c r="Q56" s="65"/>
      <c r="R56" s="65" t="s">
        <v>41</v>
      </c>
      <c r="S56" s="65"/>
      <c r="T56" s="55"/>
      <c r="U56" s="55"/>
      <c r="V56" s="55"/>
      <c r="W56" s="55"/>
      <c r="X56" s="55"/>
    </row>
    <row r="57" spans="1:24" ht="49.5" customHeight="1" x14ac:dyDescent="0.2">
      <c r="A57" s="55"/>
      <c r="B57" s="55"/>
      <c r="C57" s="55"/>
      <c r="D57" s="55"/>
      <c r="E57" s="55"/>
      <c r="F57" s="55"/>
      <c r="G57" s="55"/>
      <c r="H57" s="55"/>
      <c r="I57" s="63" t="s">
        <v>96</v>
      </c>
      <c r="J57" s="66" t="s">
        <v>121</v>
      </c>
      <c r="K57" s="66"/>
      <c r="L57" s="66" t="s">
        <v>122</v>
      </c>
      <c r="M57" s="66"/>
      <c r="N57" s="66" t="s">
        <v>123</v>
      </c>
      <c r="O57" s="66"/>
      <c r="P57" s="63" t="s">
        <v>124</v>
      </c>
      <c r="Q57" s="63"/>
      <c r="R57" s="63" t="s">
        <v>137</v>
      </c>
      <c r="S57" s="63"/>
      <c r="T57" s="58"/>
      <c r="U57" s="55"/>
      <c r="V57" s="55"/>
      <c r="W57" s="55"/>
      <c r="X57" s="55"/>
    </row>
    <row r="58" spans="1:24" x14ac:dyDescent="0.2">
      <c r="A58" s="55"/>
      <c r="B58" s="55"/>
      <c r="C58" s="55"/>
      <c r="D58" s="55"/>
      <c r="E58" s="55"/>
      <c r="F58" s="55"/>
      <c r="G58" s="55"/>
      <c r="H58" s="55"/>
      <c r="I58" s="63"/>
      <c r="J58" s="59" t="s">
        <v>83</v>
      </c>
      <c r="K58" s="59" t="s">
        <v>84</v>
      </c>
      <c r="L58" s="59" t="s">
        <v>83</v>
      </c>
      <c r="M58" s="59" t="s">
        <v>84</v>
      </c>
      <c r="N58" s="59" t="s">
        <v>83</v>
      </c>
      <c r="O58" s="59" t="s">
        <v>84</v>
      </c>
      <c r="P58" s="59" t="s">
        <v>120</v>
      </c>
      <c r="Q58" s="59" t="s">
        <v>84</v>
      </c>
      <c r="R58" s="59" t="s">
        <v>120</v>
      </c>
      <c r="S58" s="59" t="s">
        <v>84</v>
      </c>
      <c r="T58" s="55"/>
      <c r="U58" s="55"/>
      <c r="V58" s="55"/>
      <c r="W58" s="55"/>
      <c r="X58" s="55"/>
    </row>
    <row r="59" spans="1:24" x14ac:dyDescent="0.2">
      <c r="A59" s="55"/>
      <c r="B59" s="55"/>
      <c r="C59" s="55"/>
      <c r="D59" s="55"/>
      <c r="E59" s="55"/>
      <c r="F59" s="55"/>
      <c r="G59" s="55"/>
      <c r="H59" s="55"/>
      <c r="I59" s="40" t="s">
        <v>97</v>
      </c>
      <c r="J59" s="60">
        <f t="shared" ref="J59:J65" si="53">C19</f>
        <v>680</v>
      </c>
      <c r="K59" s="60">
        <f t="shared" ref="K59:K65" si="54">C42</f>
        <v>650</v>
      </c>
      <c r="L59" s="60">
        <f t="shared" ref="L59:L65" si="55">D19</f>
        <v>510</v>
      </c>
      <c r="M59" s="60">
        <f t="shared" ref="M59:M65" si="56">D42</f>
        <v>510</v>
      </c>
      <c r="N59" s="60">
        <f t="shared" ref="N59:N65" si="57">E19</f>
        <v>490</v>
      </c>
      <c r="O59" s="60">
        <f t="shared" ref="O59:O65" si="58">E42</f>
        <v>495</v>
      </c>
      <c r="P59" s="60">
        <f>F19</f>
        <v>490</v>
      </c>
      <c r="Q59" s="60">
        <f t="shared" ref="Q59:Q65" si="59">F42</f>
        <v>460</v>
      </c>
      <c r="R59" s="60">
        <f>G19</f>
        <v>640</v>
      </c>
      <c r="S59" s="60">
        <f>G42</f>
        <v>600</v>
      </c>
      <c r="T59" s="55"/>
      <c r="U59" s="55"/>
      <c r="V59" s="55"/>
      <c r="W59" s="55"/>
      <c r="X59" s="55"/>
    </row>
    <row r="60" spans="1:24" x14ac:dyDescent="0.2">
      <c r="A60" s="55"/>
      <c r="B60" s="55"/>
      <c r="C60" s="55"/>
      <c r="D60" s="55"/>
      <c r="E60" s="55"/>
      <c r="F60" s="55"/>
      <c r="G60" s="55"/>
      <c r="H60" s="55"/>
      <c r="I60" s="40" t="s">
        <v>98</v>
      </c>
      <c r="J60" s="60">
        <f t="shared" si="53"/>
        <v>545</v>
      </c>
      <c r="K60" s="60">
        <f t="shared" si="54"/>
        <v>505</v>
      </c>
      <c r="L60" s="60">
        <f t="shared" si="55"/>
        <v>410</v>
      </c>
      <c r="M60" s="60">
        <f t="shared" si="56"/>
        <v>365</v>
      </c>
      <c r="N60" s="60">
        <f t="shared" si="57"/>
        <v>430</v>
      </c>
      <c r="O60" s="60">
        <f t="shared" si="58"/>
        <v>405</v>
      </c>
      <c r="P60" s="60">
        <f t="shared" ref="P60:P65" si="60">F20</f>
        <v>400</v>
      </c>
      <c r="Q60" s="60">
        <f t="shared" si="59"/>
        <v>340</v>
      </c>
      <c r="R60" s="60">
        <f t="shared" ref="R60:R65" si="61">G20</f>
        <v>390</v>
      </c>
      <c r="S60" s="60">
        <f t="shared" ref="S60:S65" si="62">G43</f>
        <v>370</v>
      </c>
      <c r="T60" s="55"/>
      <c r="U60" s="55"/>
      <c r="V60" s="55"/>
      <c r="W60" s="55"/>
      <c r="X60" s="55"/>
    </row>
    <row r="61" spans="1:24" x14ac:dyDescent="0.2">
      <c r="A61" s="55"/>
      <c r="B61" s="55"/>
      <c r="C61" s="55"/>
      <c r="D61" s="55"/>
      <c r="E61" s="55"/>
      <c r="F61" s="55"/>
      <c r="G61" s="55"/>
      <c r="H61" s="55"/>
      <c r="I61" s="40" t="s">
        <v>99</v>
      </c>
      <c r="J61" s="60">
        <f t="shared" si="53"/>
        <v>614.375</v>
      </c>
      <c r="K61" s="60">
        <f t="shared" si="54"/>
        <v>559.0625</v>
      </c>
      <c r="L61" s="60">
        <f t="shared" si="55"/>
        <v>459.0625</v>
      </c>
      <c r="M61" s="60">
        <f t="shared" si="56"/>
        <v>458.125</v>
      </c>
      <c r="N61" s="60">
        <f t="shared" si="57"/>
        <v>459.375</v>
      </c>
      <c r="O61" s="60">
        <f t="shared" si="58"/>
        <v>435.3125</v>
      </c>
      <c r="P61" s="60">
        <f t="shared" si="60"/>
        <v>437.5</v>
      </c>
      <c r="Q61" s="60">
        <f t="shared" si="59"/>
        <v>405</v>
      </c>
      <c r="R61" s="60">
        <f t="shared" si="61"/>
        <v>525</v>
      </c>
      <c r="S61" s="60">
        <f t="shared" si="62"/>
        <v>482.8125</v>
      </c>
      <c r="T61" s="55"/>
      <c r="U61" s="55"/>
      <c r="V61" s="55"/>
      <c r="W61" s="55"/>
      <c r="X61" s="55"/>
    </row>
    <row r="62" spans="1:24" x14ac:dyDescent="0.2">
      <c r="A62" s="55"/>
      <c r="B62" s="55"/>
      <c r="C62" s="55"/>
      <c r="D62" s="55"/>
      <c r="E62" s="55"/>
      <c r="F62" s="55"/>
      <c r="G62" s="55"/>
      <c r="H62" s="55"/>
      <c r="I62" s="40" t="s">
        <v>100</v>
      </c>
      <c r="J62" s="60">
        <f t="shared" si="53"/>
        <v>42.145581025773033</v>
      </c>
      <c r="K62" s="60">
        <f t="shared" si="54"/>
        <v>38.175854061609854</v>
      </c>
      <c r="L62" s="60">
        <f t="shared" si="55"/>
        <v>28.648371099709429</v>
      </c>
      <c r="M62" s="60">
        <f t="shared" si="56"/>
        <v>39.953097501945955</v>
      </c>
      <c r="N62" s="60">
        <f t="shared" si="57"/>
        <v>17.969882210706519</v>
      </c>
      <c r="O62" s="60">
        <f t="shared" si="58"/>
        <v>23.626873823395819</v>
      </c>
      <c r="P62" s="60">
        <f t="shared" si="60"/>
        <v>27.446918466985203</v>
      </c>
      <c r="Q62" s="60">
        <f t="shared" si="59"/>
        <v>30.055504210266268</v>
      </c>
      <c r="R62" s="60">
        <f t="shared" si="61"/>
        <v>73.416619371910613</v>
      </c>
      <c r="S62" s="60">
        <f t="shared" si="62"/>
        <v>66.981807231516228</v>
      </c>
      <c r="T62" s="55"/>
      <c r="U62" s="55"/>
      <c r="V62" s="55"/>
      <c r="W62" s="55"/>
      <c r="X62" s="55"/>
    </row>
    <row r="63" spans="1:24" x14ac:dyDescent="0.2">
      <c r="A63" s="55"/>
      <c r="B63" s="55"/>
      <c r="C63" s="55"/>
      <c r="D63" s="55"/>
      <c r="E63" s="55"/>
      <c r="F63" s="55"/>
      <c r="G63" s="55"/>
      <c r="H63" s="55"/>
      <c r="I63" s="40" t="s">
        <v>101</v>
      </c>
      <c r="J63" s="60">
        <f t="shared" si="53"/>
        <v>556.25</v>
      </c>
      <c r="K63" s="60">
        <f t="shared" si="54"/>
        <v>505</v>
      </c>
      <c r="L63" s="60">
        <f t="shared" si="55"/>
        <v>417.5</v>
      </c>
      <c r="M63" s="60">
        <f t="shared" si="56"/>
        <v>395</v>
      </c>
      <c r="N63" s="60">
        <f t="shared" si="57"/>
        <v>433.75</v>
      </c>
      <c r="O63" s="60">
        <f t="shared" si="58"/>
        <v>405</v>
      </c>
      <c r="P63" s="60">
        <f t="shared" si="60"/>
        <v>407.5</v>
      </c>
      <c r="Q63" s="60">
        <f t="shared" si="59"/>
        <v>366.25</v>
      </c>
      <c r="R63" s="60">
        <f t="shared" si="61"/>
        <v>420</v>
      </c>
      <c r="S63" s="60">
        <f t="shared" si="62"/>
        <v>392.5</v>
      </c>
      <c r="T63" s="55"/>
      <c r="U63" s="55"/>
      <c r="V63" s="55"/>
      <c r="W63" s="55"/>
      <c r="X63" s="55"/>
    </row>
    <row r="64" spans="1:24" x14ac:dyDescent="0.2">
      <c r="A64" s="55"/>
      <c r="B64" s="55"/>
      <c r="C64" s="55"/>
      <c r="D64" s="55"/>
      <c r="E64" s="55"/>
      <c r="F64" s="55"/>
      <c r="G64" s="55"/>
      <c r="H64" s="55"/>
      <c r="I64" s="40" t="s">
        <v>102</v>
      </c>
      <c r="J64" s="60">
        <f t="shared" si="53"/>
        <v>615</v>
      </c>
      <c r="K64" s="60">
        <f t="shared" si="54"/>
        <v>550</v>
      </c>
      <c r="L64" s="60">
        <f t="shared" si="55"/>
        <v>460</v>
      </c>
      <c r="M64" s="60">
        <f t="shared" si="56"/>
        <v>470</v>
      </c>
      <c r="N64" s="60">
        <f t="shared" si="57"/>
        <v>460</v>
      </c>
      <c r="O64" s="60">
        <f t="shared" si="58"/>
        <v>430</v>
      </c>
      <c r="P64" s="60">
        <f t="shared" si="60"/>
        <v>430</v>
      </c>
      <c r="Q64" s="60">
        <f t="shared" si="59"/>
        <v>405</v>
      </c>
      <c r="R64" s="60">
        <f t="shared" si="61"/>
        <v>527.5</v>
      </c>
      <c r="S64" s="60">
        <f t="shared" si="62"/>
        <v>490</v>
      </c>
      <c r="T64" s="55"/>
      <c r="U64" s="55"/>
      <c r="V64" s="55"/>
      <c r="W64" s="55"/>
      <c r="X64" s="55"/>
    </row>
    <row r="65" spans="1:26" x14ac:dyDescent="0.2">
      <c r="A65" s="55"/>
      <c r="B65" s="55"/>
      <c r="C65" s="55"/>
      <c r="D65" s="55"/>
      <c r="E65" s="55"/>
      <c r="F65" s="55"/>
      <c r="G65" s="55"/>
      <c r="H65" s="55"/>
      <c r="I65" s="40" t="s">
        <v>119</v>
      </c>
      <c r="J65" s="60">
        <f t="shared" si="53"/>
        <v>680</v>
      </c>
      <c r="K65" s="60">
        <f t="shared" si="54"/>
        <v>623.75</v>
      </c>
      <c r="L65" s="60">
        <f t="shared" si="55"/>
        <v>502.5</v>
      </c>
      <c r="M65" s="60">
        <f t="shared" si="56"/>
        <v>506.25</v>
      </c>
      <c r="N65" s="60">
        <f t="shared" si="57"/>
        <v>490</v>
      </c>
      <c r="O65" s="60">
        <f t="shared" si="58"/>
        <v>476.25</v>
      </c>
      <c r="P65" s="60">
        <f t="shared" si="60"/>
        <v>482.5</v>
      </c>
      <c r="Q65" s="60">
        <f t="shared" si="59"/>
        <v>445</v>
      </c>
      <c r="R65" s="60">
        <f t="shared" si="61"/>
        <v>640</v>
      </c>
      <c r="S65" s="60">
        <f t="shared" si="62"/>
        <v>581.25</v>
      </c>
      <c r="T65" s="55"/>
      <c r="U65" s="55"/>
      <c r="V65" s="55"/>
      <c r="W65" s="55"/>
      <c r="X65" s="55"/>
    </row>
    <row r="68" spans="1:26" s="50" customFormat="1" ht="63.75" customHeight="1" x14ac:dyDescent="0.2">
      <c r="H68" s="49" t="s">
        <v>125</v>
      </c>
      <c r="I68" s="54" t="s">
        <v>135</v>
      </c>
      <c r="J68" s="54" t="s">
        <v>131</v>
      </c>
      <c r="K68" s="54" t="s">
        <v>132</v>
      </c>
      <c r="L68" s="54" t="s">
        <v>133</v>
      </c>
      <c r="M68" s="54" t="s">
        <v>134</v>
      </c>
    </row>
    <row r="69" spans="1:26" s="50" customFormat="1" ht="15" customHeight="1" x14ac:dyDescent="0.2">
      <c r="H69" s="64" t="s">
        <v>126</v>
      </c>
      <c r="I69" s="50" t="s">
        <v>83</v>
      </c>
      <c r="J69" s="53">
        <f>1-M69</f>
        <v>0</v>
      </c>
      <c r="K69" s="51">
        <f>P19</f>
        <v>0</v>
      </c>
      <c r="L69" s="51">
        <f>Q19</f>
        <v>1</v>
      </c>
      <c r="M69" s="51">
        <f>K69+L69</f>
        <v>1</v>
      </c>
    </row>
    <row r="70" spans="1:26" s="50" customFormat="1" ht="15" customHeight="1" x14ac:dyDescent="0.2">
      <c r="H70" s="64"/>
      <c r="I70" s="50" t="s">
        <v>84</v>
      </c>
      <c r="J70" s="53">
        <f t="shared" ref="J70:J78" si="63">1-M70</f>
        <v>0</v>
      </c>
      <c r="K70" s="51">
        <f>P42</f>
        <v>0</v>
      </c>
      <c r="L70" s="51">
        <f>Q42</f>
        <v>1</v>
      </c>
      <c r="M70" s="51">
        <f t="shared" ref="M70:M78" si="64">K70+L70</f>
        <v>1</v>
      </c>
    </row>
    <row r="71" spans="1:26" s="50" customFormat="1" ht="15" customHeight="1" x14ac:dyDescent="0.2">
      <c r="H71" s="64" t="s">
        <v>127</v>
      </c>
      <c r="I71" s="50" t="s">
        <v>83</v>
      </c>
      <c r="J71" s="53">
        <f t="shared" si="63"/>
        <v>6.25E-2</v>
      </c>
      <c r="K71" s="51">
        <f>R19</f>
        <v>0</v>
      </c>
      <c r="L71" s="51">
        <f>S19</f>
        <v>0.9375</v>
      </c>
      <c r="M71" s="51">
        <f t="shared" si="64"/>
        <v>0.9375</v>
      </c>
      <c r="Z71" s="2"/>
    </row>
    <row r="72" spans="1:26" s="50" customFormat="1" ht="15" customHeight="1" x14ac:dyDescent="0.2">
      <c r="H72" s="64"/>
      <c r="I72" s="50" t="s">
        <v>84</v>
      </c>
      <c r="J72" s="53">
        <f t="shared" si="63"/>
        <v>0.125</v>
      </c>
      <c r="K72" s="51">
        <f>R42</f>
        <v>0</v>
      </c>
      <c r="L72" s="51">
        <f>S42</f>
        <v>0.875</v>
      </c>
      <c r="M72" s="51">
        <f t="shared" si="64"/>
        <v>0.875</v>
      </c>
      <c r="Z72" s="2"/>
    </row>
    <row r="73" spans="1:26" s="50" customFormat="1" ht="15" customHeight="1" x14ac:dyDescent="0.2">
      <c r="H73" s="64" t="s">
        <v>128</v>
      </c>
      <c r="I73" s="50" t="s">
        <v>83</v>
      </c>
      <c r="J73" s="53">
        <f t="shared" si="63"/>
        <v>0.875</v>
      </c>
      <c r="K73" s="51">
        <f>T19</f>
        <v>0.125</v>
      </c>
      <c r="L73" s="51">
        <f>U19</f>
        <v>0</v>
      </c>
      <c r="M73" s="51">
        <f t="shared" si="64"/>
        <v>0.125</v>
      </c>
      <c r="Z73" s="2"/>
    </row>
    <row r="74" spans="1:26" s="50" customFormat="1" ht="15" customHeight="1" x14ac:dyDescent="0.2">
      <c r="H74" s="64"/>
      <c r="I74" s="50" t="s">
        <v>84</v>
      </c>
      <c r="J74" s="53">
        <f t="shared" si="63"/>
        <v>0.5625</v>
      </c>
      <c r="K74" s="51">
        <f>T42</f>
        <v>0</v>
      </c>
      <c r="L74" s="51">
        <f>U42</f>
        <v>0.4375</v>
      </c>
      <c r="M74" s="51">
        <f t="shared" si="64"/>
        <v>0.4375</v>
      </c>
      <c r="Z74" s="2"/>
    </row>
    <row r="75" spans="1:26" s="50" customFormat="1" ht="15" customHeight="1" x14ac:dyDescent="0.2">
      <c r="H75" s="64" t="s">
        <v>130</v>
      </c>
      <c r="I75" s="50" t="s">
        <v>83</v>
      </c>
      <c r="J75" s="53">
        <f t="shared" si="63"/>
        <v>1</v>
      </c>
      <c r="K75" s="51">
        <f>V19</f>
        <v>0</v>
      </c>
      <c r="L75" s="51">
        <f>W19</f>
        <v>0</v>
      </c>
      <c r="M75" s="51">
        <f t="shared" si="64"/>
        <v>0</v>
      </c>
      <c r="Z75" s="2"/>
    </row>
    <row r="76" spans="1:26" s="50" customFormat="1" ht="15" customHeight="1" x14ac:dyDescent="0.2">
      <c r="H76" s="64"/>
      <c r="I76" s="50" t="s">
        <v>84</v>
      </c>
      <c r="J76" s="53">
        <f t="shared" si="63"/>
        <v>0.6875</v>
      </c>
      <c r="K76" s="51">
        <f>V42</f>
        <v>0</v>
      </c>
      <c r="L76" s="51">
        <f>W42</f>
        <v>0.3125</v>
      </c>
      <c r="M76" s="51">
        <f t="shared" si="64"/>
        <v>0.3125</v>
      </c>
      <c r="Z76" s="2"/>
    </row>
    <row r="77" spans="1:26" s="50" customFormat="1" ht="15" customHeight="1" x14ac:dyDescent="0.2">
      <c r="H77" s="64" t="s">
        <v>129</v>
      </c>
      <c r="I77" s="50" t="s">
        <v>83</v>
      </c>
      <c r="J77" s="53">
        <f t="shared" si="63"/>
        <v>0.25</v>
      </c>
      <c r="K77" s="51">
        <f>X19</f>
        <v>0.75</v>
      </c>
      <c r="L77" s="51">
        <f>W21</f>
        <v>0</v>
      </c>
      <c r="M77" s="51">
        <f t="shared" si="64"/>
        <v>0.75</v>
      </c>
      <c r="Z77" s="2"/>
    </row>
    <row r="78" spans="1:26" s="48" customFormat="1" ht="15" customHeight="1" x14ac:dyDescent="0.2">
      <c r="H78" s="64"/>
      <c r="I78" s="50" t="s">
        <v>84</v>
      </c>
      <c r="J78" s="53">
        <f t="shared" si="63"/>
        <v>0.3125</v>
      </c>
      <c r="K78" s="52">
        <f>X42</f>
        <v>0.6875</v>
      </c>
      <c r="L78" s="51">
        <f>W44</f>
        <v>0</v>
      </c>
      <c r="M78" s="51">
        <f t="shared" si="64"/>
        <v>0.6875</v>
      </c>
      <c r="Z78" s="2"/>
    </row>
    <row r="79" spans="1:26" x14ac:dyDescent="0.2">
      <c r="Z79" s="2"/>
    </row>
    <row r="80" spans="1:26" x14ac:dyDescent="0.2">
      <c r="Z80" s="2"/>
    </row>
    <row r="81" spans="26:26" x14ac:dyDescent="0.2">
      <c r="Z81" s="2"/>
    </row>
    <row r="82" spans="26:26" x14ac:dyDescent="0.2">
      <c r="Z82" s="2"/>
    </row>
    <row r="83" spans="26:26" x14ac:dyDescent="0.2">
      <c r="Z83" s="2"/>
    </row>
    <row r="84" spans="26:26" x14ac:dyDescent="0.2">
      <c r="Z84" s="2"/>
    </row>
    <row r="85" spans="26:26" x14ac:dyDescent="0.2">
      <c r="Z85" s="2"/>
    </row>
    <row r="86" spans="26:26" x14ac:dyDescent="0.2">
      <c r="Z86" s="2"/>
    </row>
    <row r="87" spans="26:26" x14ac:dyDescent="0.2">
      <c r="Z87" s="2"/>
    </row>
    <row r="88" spans="26:26" x14ac:dyDescent="0.2">
      <c r="Z88" s="2"/>
    </row>
    <row r="89" spans="26:26" x14ac:dyDescent="0.2">
      <c r="Z89" s="2"/>
    </row>
    <row r="90" spans="26:26" x14ac:dyDescent="0.2">
      <c r="Z90" s="2"/>
    </row>
    <row r="91" spans="26:26" x14ac:dyDescent="0.2">
      <c r="Z91" s="2"/>
    </row>
    <row r="92" spans="26:26" x14ac:dyDescent="0.2">
      <c r="Z92" s="2"/>
    </row>
    <row r="93" spans="26:26" x14ac:dyDescent="0.2">
      <c r="Z93" s="2"/>
    </row>
    <row r="94" spans="26:26" x14ac:dyDescent="0.2">
      <c r="Z94" s="2"/>
    </row>
    <row r="95" spans="26:26" x14ac:dyDescent="0.2">
      <c r="Z95" s="2"/>
    </row>
    <row r="96" spans="26:26" x14ac:dyDescent="0.2">
      <c r="Z96" s="2"/>
    </row>
    <row r="97" spans="26:26" x14ac:dyDescent="0.2">
      <c r="Z97" s="2"/>
    </row>
    <row r="98" spans="26:26" x14ac:dyDescent="0.2">
      <c r="Z98" s="2"/>
    </row>
    <row r="99" spans="26:26" x14ac:dyDescent="0.2">
      <c r="Z99" s="2"/>
    </row>
    <row r="100" spans="26:26" x14ac:dyDescent="0.2">
      <c r="Z100" s="2"/>
    </row>
    <row r="101" spans="26:26" x14ac:dyDescent="0.2">
      <c r="Z101" s="3"/>
    </row>
    <row r="102" spans="26:26" x14ac:dyDescent="0.2">
      <c r="Z102" s="3"/>
    </row>
  </sheetData>
  <autoFilter ref="A2:F2" xr:uid="{C384123D-7042-496C-B421-62FA550CFB70}">
    <sortState xmlns:xlrd2="http://schemas.microsoft.com/office/spreadsheetml/2017/richdata2" ref="A3:F41">
      <sortCondition ref="A2"/>
    </sortState>
  </autoFilter>
  <mergeCells count="16">
    <mergeCell ref="H75:H76"/>
    <mergeCell ref="H77:H78"/>
    <mergeCell ref="J56:K56"/>
    <mergeCell ref="L56:M56"/>
    <mergeCell ref="N56:O56"/>
    <mergeCell ref="I57:I58"/>
    <mergeCell ref="J57:K57"/>
    <mergeCell ref="L57:M57"/>
    <mergeCell ref="N57:O57"/>
    <mergeCell ref="R56:S56"/>
    <mergeCell ref="R57:S57"/>
    <mergeCell ref="H69:H70"/>
    <mergeCell ref="H71:H72"/>
    <mergeCell ref="H73:H74"/>
    <mergeCell ref="P57:Q57"/>
    <mergeCell ref="P56:Q5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C43" sqref="C43"/>
    </sheetView>
  </sheetViews>
  <sheetFormatPr defaultColWidth="12.5703125" defaultRowHeight="15" customHeight="1" x14ac:dyDescent="0.2"/>
  <cols>
    <col min="1" max="1" width="9.28515625" customWidth="1"/>
    <col min="2" max="2" width="11.28515625" hidden="1" customWidth="1"/>
    <col min="3" max="3" width="5.7109375" customWidth="1"/>
    <col min="4" max="4" width="5.7109375" hidden="1" customWidth="1"/>
    <col min="5" max="5" width="5.7109375" customWidth="1"/>
    <col min="6" max="6" width="5.7109375" hidden="1" customWidth="1"/>
    <col min="7" max="7" width="5.7109375" customWidth="1"/>
    <col min="8" max="8" width="5.7109375" hidden="1" customWidth="1"/>
    <col min="9" max="9" width="5.7109375" customWidth="1"/>
    <col min="10" max="10" width="5.7109375" hidden="1" customWidth="1"/>
    <col min="11" max="11" width="5.7109375" customWidth="1"/>
    <col min="12" max="12" width="5.7109375" hidden="1" customWidth="1"/>
    <col min="13" max="13" width="5.7109375" customWidth="1"/>
    <col min="14" max="14" width="5.7109375" hidden="1" customWidth="1"/>
    <col min="15" max="15" width="5.7109375" customWidth="1"/>
    <col min="16" max="16" width="5.7109375" hidden="1" customWidth="1"/>
    <col min="17" max="17" width="5.7109375" customWidth="1"/>
    <col min="18" max="18" width="5.7109375" hidden="1" customWidth="1"/>
    <col min="19" max="19" width="5.7109375" customWidth="1"/>
    <col min="20" max="20" width="5.7109375" hidden="1" customWidth="1"/>
    <col min="21" max="21" width="5.7109375" customWidth="1"/>
    <col min="22" max="22" width="5.7109375" hidden="1" customWidth="1"/>
    <col min="23" max="23" width="5.7109375" customWidth="1"/>
    <col min="24" max="24" width="9.140625" hidden="1" customWidth="1"/>
    <col min="25" max="26" width="8.5703125" customWidth="1"/>
  </cols>
  <sheetData>
    <row r="1" spans="1:26" ht="12.75" customHeight="1" x14ac:dyDescent="0.2">
      <c r="A1" s="4"/>
      <c r="B1" s="5"/>
      <c r="C1" s="3" t="s">
        <v>33</v>
      </c>
      <c r="D1" s="3"/>
      <c r="E1" s="3" t="s">
        <v>35</v>
      </c>
      <c r="F1" s="3"/>
      <c r="G1" s="3" t="s">
        <v>37</v>
      </c>
      <c r="H1" s="3"/>
      <c r="I1" s="3" t="s">
        <v>39</v>
      </c>
      <c r="J1" s="3"/>
      <c r="K1" s="3" t="s">
        <v>41</v>
      </c>
      <c r="L1" s="3"/>
      <c r="M1" s="3" t="s">
        <v>43</v>
      </c>
      <c r="N1" s="3"/>
      <c r="O1" s="3" t="s">
        <v>45</v>
      </c>
      <c r="P1" s="3"/>
      <c r="Q1" s="3" t="s">
        <v>47</v>
      </c>
      <c r="R1" s="3"/>
      <c r="S1" s="3" t="s">
        <v>49</v>
      </c>
      <c r="T1" s="3"/>
      <c r="U1" s="3" t="s">
        <v>51</v>
      </c>
      <c r="V1" s="3"/>
      <c r="W1" s="3" t="s">
        <v>53</v>
      </c>
      <c r="X1" s="4"/>
      <c r="Y1" s="4"/>
      <c r="Z1" s="4"/>
    </row>
    <row r="2" spans="1:26" ht="37.5" customHeight="1" x14ac:dyDescent="0.2">
      <c r="A2" s="5" t="s">
        <v>55</v>
      </c>
      <c r="B2" s="5" t="s">
        <v>56</v>
      </c>
      <c r="C2" s="6" t="s">
        <v>34</v>
      </c>
      <c r="D2" s="6" t="s">
        <v>57</v>
      </c>
      <c r="E2" s="6" t="s">
        <v>36</v>
      </c>
      <c r="F2" s="6" t="s">
        <v>57</v>
      </c>
      <c r="G2" s="6" t="s">
        <v>38</v>
      </c>
      <c r="H2" s="6" t="s">
        <v>57</v>
      </c>
      <c r="I2" s="6" t="s">
        <v>40</v>
      </c>
      <c r="J2" s="6" t="s">
        <v>57</v>
      </c>
      <c r="K2" s="6" t="s">
        <v>42</v>
      </c>
      <c r="L2" s="6" t="s">
        <v>57</v>
      </c>
      <c r="M2" s="6" t="s">
        <v>44</v>
      </c>
      <c r="N2" s="6" t="s">
        <v>57</v>
      </c>
      <c r="O2" s="6" t="s">
        <v>46</v>
      </c>
      <c r="P2" s="6" t="s">
        <v>57</v>
      </c>
      <c r="Q2" s="6" t="s">
        <v>48</v>
      </c>
      <c r="R2" s="6" t="s">
        <v>57</v>
      </c>
      <c r="S2" s="6" t="s">
        <v>50</v>
      </c>
      <c r="T2" s="6" t="s">
        <v>57</v>
      </c>
      <c r="U2" s="6" t="s">
        <v>52</v>
      </c>
      <c r="V2" s="6" t="s">
        <v>57</v>
      </c>
      <c r="W2" s="6" t="s">
        <v>54</v>
      </c>
      <c r="X2" s="6" t="s">
        <v>57</v>
      </c>
      <c r="Y2" s="5"/>
      <c r="Z2" s="5"/>
    </row>
    <row r="3" spans="1:26" ht="12.75" customHeight="1" x14ac:dyDescent="0.2">
      <c r="A3" s="4">
        <v>1</v>
      </c>
      <c r="B3" s="7" t="s">
        <v>1</v>
      </c>
      <c r="C3" s="3">
        <v>46</v>
      </c>
      <c r="D3" s="3">
        <f t="shared" ref="D3:D34" si="0">C3^2</f>
        <v>2116</v>
      </c>
      <c r="E3" s="3">
        <v>46</v>
      </c>
      <c r="F3" s="3">
        <f t="shared" ref="F3:F34" si="1">E3^2</f>
        <v>2116</v>
      </c>
      <c r="G3" s="3">
        <v>57</v>
      </c>
      <c r="H3" s="3">
        <f t="shared" ref="H3:H34" si="2">G3^2</f>
        <v>3249</v>
      </c>
      <c r="I3" s="3">
        <v>42</v>
      </c>
      <c r="J3" s="3">
        <f t="shared" ref="J3:J34" si="3">I3^2</f>
        <v>1764</v>
      </c>
      <c r="K3" s="3">
        <v>64</v>
      </c>
      <c r="L3" s="3">
        <f t="shared" ref="L3:L34" si="4">K3^2</f>
        <v>4096</v>
      </c>
      <c r="M3" s="3">
        <v>123.5</v>
      </c>
      <c r="N3" s="3">
        <f t="shared" ref="N3:N34" si="5">M3^2</f>
        <v>15252.25</v>
      </c>
      <c r="O3" s="3">
        <v>135.5</v>
      </c>
      <c r="P3" s="3">
        <f t="shared" ref="P3:P34" si="6">O3^2</f>
        <v>18360.25</v>
      </c>
      <c r="Q3" s="3">
        <v>17</v>
      </c>
      <c r="R3" s="3">
        <f t="shared" ref="R3:R34" si="7">Q3^2</f>
        <v>289</v>
      </c>
      <c r="S3" s="3">
        <v>58</v>
      </c>
      <c r="T3" s="3">
        <f t="shared" ref="T3:T34" si="8">S3^2</f>
        <v>3364</v>
      </c>
      <c r="U3" s="3">
        <v>27</v>
      </c>
      <c r="V3" s="3">
        <f t="shared" ref="V3:V34" si="9">U3^2</f>
        <v>729</v>
      </c>
      <c r="W3" s="3">
        <v>102</v>
      </c>
      <c r="X3" s="3">
        <f t="shared" ref="X3:X34" si="10">W3^2</f>
        <v>10404</v>
      </c>
      <c r="Y3" s="4"/>
      <c r="Z3" s="4"/>
    </row>
    <row r="4" spans="1:26" ht="12.75" customHeight="1" x14ac:dyDescent="0.2">
      <c r="A4" s="4">
        <v>2</v>
      </c>
      <c r="B4" s="7" t="s">
        <v>2</v>
      </c>
      <c r="C4" s="3">
        <v>45</v>
      </c>
      <c r="D4" s="3">
        <f t="shared" si="0"/>
        <v>2025</v>
      </c>
      <c r="E4" s="3">
        <v>46</v>
      </c>
      <c r="F4" s="3">
        <f t="shared" si="1"/>
        <v>2116</v>
      </c>
      <c r="G4" s="3">
        <v>56</v>
      </c>
      <c r="H4" s="3">
        <f t="shared" si="2"/>
        <v>3136</v>
      </c>
      <c r="I4" s="3">
        <v>40</v>
      </c>
      <c r="J4" s="3">
        <f t="shared" si="3"/>
        <v>1600</v>
      </c>
      <c r="K4" s="3">
        <v>67</v>
      </c>
      <c r="L4" s="3">
        <f t="shared" si="4"/>
        <v>4489</v>
      </c>
      <c r="M4" s="3">
        <v>125</v>
      </c>
      <c r="N4" s="3">
        <f t="shared" si="5"/>
        <v>15625</v>
      </c>
      <c r="O4" s="3">
        <v>135</v>
      </c>
      <c r="P4" s="3">
        <f t="shared" si="6"/>
        <v>18225</v>
      </c>
      <c r="Q4" s="3">
        <v>15</v>
      </c>
      <c r="R4" s="3">
        <f t="shared" si="7"/>
        <v>225</v>
      </c>
      <c r="S4" s="3">
        <v>53.5</v>
      </c>
      <c r="T4" s="3">
        <f t="shared" si="8"/>
        <v>2862.25</v>
      </c>
      <c r="U4" s="3">
        <v>30</v>
      </c>
      <c r="V4" s="3">
        <f t="shared" si="9"/>
        <v>900</v>
      </c>
      <c r="W4" s="3">
        <v>102</v>
      </c>
      <c r="X4" s="3">
        <f t="shared" si="10"/>
        <v>10404</v>
      </c>
      <c r="Y4" s="4"/>
      <c r="Z4" s="4"/>
    </row>
    <row r="5" spans="1:26" ht="12.75" customHeight="1" x14ac:dyDescent="0.2">
      <c r="A5" s="4">
        <v>3</v>
      </c>
      <c r="B5" s="7" t="s">
        <v>3</v>
      </c>
      <c r="C5" s="3">
        <v>43</v>
      </c>
      <c r="D5" s="3">
        <f t="shared" si="0"/>
        <v>1849</v>
      </c>
      <c r="E5" s="3">
        <v>41.5</v>
      </c>
      <c r="F5" s="3">
        <f t="shared" si="1"/>
        <v>1722.25</v>
      </c>
      <c r="G5" s="3">
        <v>48</v>
      </c>
      <c r="H5" s="3">
        <f t="shared" si="2"/>
        <v>2304</v>
      </c>
      <c r="I5" s="3">
        <v>39</v>
      </c>
      <c r="J5" s="3">
        <f t="shared" si="3"/>
        <v>1521</v>
      </c>
      <c r="K5" s="3">
        <v>55</v>
      </c>
      <c r="L5" s="3">
        <f t="shared" si="4"/>
        <v>3025</v>
      </c>
      <c r="M5" s="3">
        <f>43+71</f>
        <v>114</v>
      </c>
      <c r="N5" s="3">
        <f t="shared" si="5"/>
        <v>12996</v>
      </c>
      <c r="O5" s="3">
        <f>43+81</f>
        <v>124</v>
      </c>
      <c r="P5" s="3">
        <f t="shared" si="6"/>
        <v>15376</v>
      </c>
      <c r="Q5" s="3">
        <v>18</v>
      </c>
      <c r="R5" s="3">
        <f t="shared" si="7"/>
        <v>324</v>
      </c>
      <c r="S5" s="3">
        <v>51</v>
      </c>
      <c r="T5" s="3">
        <f t="shared" si="8"/>
        <v>2601</v>
      </c>
      <c r="U5" s="3">
        <v>19</v>
      </c>
      <c r="V5" s="3">
        <f t="shared" si="9"/>
        <v>361</v>
      </c>
      <c r="W5" s="3">
        <v>107</v>
      </c>
      <c r="X5" s="3">
        <f t="shared" si="10"/>
        <v>11449</v>
      </c>
      <c r="Y5" s="4"/>
      <c r="Z5" s="4"/>
    </row>
    <row r="6" spans="1:26" ht="12.75" customHeight="1" x14ac:dyDescent="0.2">
      <c r="A6" s="4">
        <v>4</v>
      </c>
      <c r="B6" s="7" t="s">
        <v>4</v>
      </c>
      <c r="C6" s="3">
        <v>44</v>
      </c>
      <c r="D6" s="3">
        <f t="shared" si="0"/>
        <v>1936</v>
      </c>
      <c r="E6" s="3">
        <v>46.5</v>
      </c>
      <c r="F6" s="3">
        <f t="shared" si="1"/>
        <v>2162.25</v>
      </c>
      <c r="G6" s="3">
        <v>47</v>
      </c>
      <c r="H6" s="3">
        <f t="shared" si="2"/>
        <v>2209</v>
      </c>
      <c r="I6" s="3">
        <v>42</v>
      </c>
      <c r="J6" s="3">
        <f t="shared" si="3"/>
        <v>1764</v>
      </c>
      <c r="K6" s="3">
        <v>54.5</v>
      </c>
      <c r="L6" s="3">
        <f t="shared" si="4"/>
        <v>2970.25</v>
      </c>
      <c r="M6" s="3">
        <f>43+69</f>
        <v>112</v>
      </c>
      <c r="N6" s="3">
        <f t="shared" si="5"/>
        <v>12544</v>
      </c>
      <c r="O6" s="3">
        <f>43+78</f>
        <v>121</v>
      </c>
      <c r="P6" s="3">
        <f t="shared" si="6"/>
        <v>14641</v>
      </c>
      <c r="Q6" s="3">
        <v>15</v>
      </c>
      <c r="R6" s="3">
        <f t="shared" si="7"/>
        <v>225</v>
      </c>
      <c r="S6" s="3">
        <v>54</v>
      </c>
      <c r="T6" s="3">
        <f t="shared" si="8"/>
        <v>2916</v>
      </c>
      <c r="U6" s="3">
        <v>21</v>
      </c>
      <c r="V6" s="3">
        <f t="shared" si="9"/>
        <v>441</v>
      </c>
      <c r="W6" s="3">
        <v>107</v>
      </c>
      <c r="X6" s="3">
        <f t="shared" si="10"/>
        <v>11449</v>
      </c>
      <c r="Y6" s="4"/>
      <c r="Z6" s="4"/>
    </row>
    <row r="7" spans="1:26" ht="12.75" customHeight="1" x14ac:dyDescent="0.2">
      <c r="A7" s="4">
        <v>5</v>
      </c>
      <c r="B7" s="7" t="s">
        <v>5</v>
      </c>
      <c r="C7" s="3">
        <v>42.5</v>
      </c>
      <c r="D7" s="3">
        <f t="shared" si="0"/>
        <v>1806.25</v>
      </c>
      <c r="E7" s="3">
        <v>48</v>
      </c>
      <c r="F7" s="3">
        <f t="shared" si="1"/>
        <v>2304</v>
      </c>
      <c r="G7" s="3">
        <v>54</v>
      </c>
      <c r="H7" s="3">
        <f t="shared" si="2"/>
        <v>2916</v>
      </c>
      <c r="I7" s="3">
        <v>43</v>
      </c>
      <c r="J7" s="3">
        <f t="shared" si="3"/>
        <v>1849</v>
      </c>
      <c r="K7" s="3">
        <v>57</v>
      </c>
      <c r="L7" s="3">
        <f t="shared" si="4"/>
        <v>3249</v>
      </c>
      <c r="M7" s="3">
        <f>43+72</f>
        <v>115</v>
      </c>
      <c r="N7" s="3">
        <f t="shared" si="5"/>
        <v>13225</v>
      </c>
      <c r="O7" s="3">
        <f>43+83</f>
        <v>126</v>
      </c>
      <c r="P7" s="3">
        <f t="shared" si="6"/>
        <v>15876</v>
      </c>
      <c r="Q7" s="3">
        <v>18.5</v>
      </c>
      <c r="R7" s="3">
        <f t="shared" si="7"/>
        <v>342.25</v>
      </c>
      <c r="S7" s="3">
        <v>56.5</v>
      </c>
      <c r="T7" s="3">
        <f t="shared" si="8"/>
        <v>3192.25</v>
      </c>
      <c r="U7" s="3">
        <v>23</v>
      </c>
      <c r="V7" s="3">
        <f t="shared" si="9"/>
        <v>529</v>
      </c>
      <c r="W7" s="3">
        <v>107</v>
      </c>
      <c r="X7" s="3">
        <f t="shared" si="10"/>
        <v>11449</v>
      </c>
      <c r="Y7" s="4"/>
      <c r="Z7" s="4"/>
    </row>
    <row r="8" spans="1:26" ht="12.75" customHeight="1" x14ac:dyDescent="0.2">
      <c r="A8" s="4">
        <v>6</v>
      </c>
      <c r="B8" s="7" t="s">
        <v>6</v>
      </c>
      <c r="C8" s="3">
        <v>49</v>
      </c>
      <c r="D8" s="3">
        <f t="shared" si="0"/>
        <v>2401</v>
      </c>
      <c r="E8" s="3">
        <v>50</v>
      </c>
      <c r="F8" s="3">
        <f t="shared" si="1"/>
        <v>2500</v>
      </c>
      <c r="G8" s="3">
        <v>64</v>
      </c>
      <c r="H8" s="3">
        <f t="shared" si="2"/>
        <v>4096</v>
      </c>
      <c r="I8" s="3">
        <v>42</v>
      </c>
      <c r="J8" s="3">
        <f t="shared" si="3"/>
        <v>1764</v>
      </c>
      <c r="K8" s="3">
        <v>68</v>
      </c>
      <c r="L8" s="3">
        <f t="shared" si="4"/>
        <v>4624</v>
      </c>
      <c r="M8" s="3">
        <f>46+79</f>
        <v>125</v>
      </c>
      <c r="N8" s="3">
        <f t="shared" si="5"/>
        <v>15625</v>
      </c>
      <c r="O8" s="3">
        <f>46+91.5</f>
        <v>137.5</v>
      </c>
      <c r="P8" s="3">
        <f t="shared" si="6"/>
        <v>18906.25</v>
      </c>
      <c r="Q8" s="3">
        <v>15</v>
      </c>
      <c r="R8" s="3">
        <f t="shared" si="7"/>
        <v>225</v>
      </c>
      <c r="S8" s="3">
        <v>62</v>
      </c>
      <c r="T8" s="3">
        <f t="shared" si="8"/>
        <v>3844</v>
      </c>
      <c r="U8" s="3">
        <v>20</v>
      </c>
      <c r="V8" s="3">
        <f t="shared" si="9"/>
        <v>400</v>
      </c>
      <c r="W8" s="3">
        <v>107</v>
      </c>
      <c r="X8" s="3">
        <f t="shared" si="10"/>
        <v>11449</v>
      </c>
      <c r="Y8" s="4"/>
      <c r="Z8" s="4"/>
    </row>
    <row r="9" spans="1:26" ht="12.75" customHeight="1" x14ac:dyDescent="0.2">
      <c r="A9" s="4">
        <v>7</v>
      </c>
      <c r="B9" s="7" t="s">
        <v>7</v>
      </c>
      <c r="C9" s="3">
        <v>45.5</v>
      </c>
      <c r="D9" s="3">
        <f t="shared" si="0"/>
        <v>2070.25</v>
      </c>
      <c r="E9" s="3">
        <v>47</v>
      </c>
      <c r="F9" s="3">
        <f t="shared" si="1"/>
        <v>2209</v>
      </c>
      <c r="G9" s="3">
        <v>52.5</v>
      </c>
      <c r="H9" s="3">
        <f t="shared" si="2"/>
        <v>2756.25</v>
      </c>
      <c r="I9" s="3">
        <v>46</v>
      </c>
      <c r="J9" s="3">
        <f t="shared" si="3"/>
        <v>2116</v>
      </c>
      <c r="K9" s="3">
        <v>64</v>
      </c>
      <c r="L9" s="3">
        <f t="shared" si="4"/>
        <v>4096</v>
      </c>
      <c r="M9" s="3">
        <f>76.5+46</f>
        <v>122.5</v>
      </c>
      <c r="N9" s="3">
        <f t="shared" si="5"/>
        <v>15006.25</v>
      </c>
      <c r="O9" s="3">
        <f>89+46</f>
        <v>135</v>
      </c>
      <c r="P9" s="3">
        <f t="shared" si="6"/>
        <v>18225</v>
      </c>
      <c r="Q9" s="3">
        <v>19</v>
      </c>
      <c r="R9" s="3">
        <f t="shared" si="7"/>
        <v>361</v>
      </c>
      <c r="S9" s="3">
        <v>59</v>
      </c>
      <c r="T9" s="3">
        <f t="shared" si="8"/>
        <v>3481</v>
      </c>
      <c r="U9" s="3">
        <v>24</v>
      </c>
      <c r="V9" s="3">
        <f t="shared" si="9"/>
        <v>576</v>
      </c>
      <c r="W9" s="3">
        <v>112</v>
      </c>
      <c r="X9" s="3">
        <f t="shared" si="10"/>
        <v>12544</v>
      </c>
      <c r="Y9" s="4"/>
      <c r="Z9" s="4"/>
    </row>
    <row r="10" spans="1:26" ht="12.75" customHeight="1" x14ac:dyDescent="0.2">
      <c r="A10" s="4">
        <v>8</v>
      </c>
      <c r="B10" s="7" t="s">
        <v>8</v>
      </c>
      <c r="C10" s="3">
        <v>45</v>
      </c>
      <c r="D10" s="3">
        <f t="shared" si="0"/>
        <v>2025</v>
      </c>
      <c r="E10" s="3">
        <v>42</v>
      </c>
      <c r="F10" s="3">
        <f t="shared" si="1"/>
        <v>1764</v>
      </c>
      <c r="G10" s="3">
        <v>53</v>
      </c>
      <c r="H10" s="3">
        <f t="shared" si="2"/>
        <v>2809</v>
      </c>
      <c r="I10" s="3">
        <v>41</v>
      </c>
      <c r="J10" s="3">
        <f t="shared" si="3"/>
        <v>1681</v>
      </c>
      <c r="K10" s="3">
        <v>63</v>
      </c>
      <c r="L10" s="3">
        <f t="shared" si="4"/>
        <v>3969</v>
      </c>
      <c r="M10" s="3">
        <f>77+46</f>
        <v>123</v>
      </c>
      <c r="N10" s="3">
        <f t="shared" si="5"/>
        <v>15129</v>
      </c>
      <c r="O10" s="3">
        <f t="shared" ref="O10:O11" si="11">88+46</f>
        <v>134</v>
      </c>
      <c r="P10" s="3">
        <f t="shared" si="6"/>
        <v>17956</v>
      </c>
      <c r="Q10" s="3">
        <v>18</v>
      </c>
      <c r="R10" s="3">
        <f t="shared" si="7"/>
        <v>324</v>
      </c>
      <c r="S10" s="3">
        <v>53</v>
      </c>
      <c r="T10" s="3">
        <f t="shared" si="8"/>
        <v>2809</v>
      </c>
      <c r="U10" s="3">
        <v>24</v>
      </c>
      <c r="V10" s="3">
        <f t="shared" si="9"/>
        <v>576</v>
      </c>
      <c r="W10" s="3">
        <v>112</v>
      </c>
      <c r="X10" s="3">
        <f t="shared" si="10"/>
        <v>12544</v>
      </c>
      <c r="Y10" s="4"/>
      <c r="Z10" s="4"/>
    </row>
    <row r="11" spans="1:26" ht="12.75" customHeight="1" x14ac:dyDescent="0.2">
      <c r="A11" s="4">
        <v>9</v>
      </c>
      <c r="B11" s="7" t="s">
        <v>9</v>
      </c>
      <c r="C11" s="3">
        <v>49</v>
      </c>
      <c r="D11" s="3">
        <f t="shared" si="0"/>
        <v>2401</v>
      </c>
      <c r="E11" s="3">
        <v>44</v>
      </c>
      <c r="F11" s="3">
        <f t="shared" si="1"/>
        <v>1936</v>
      </c>
      <c r="G11" s="3">
        <v>55</v>
      </c>
      <c r="H11" s="3">
        <f t="shared" si="2"/>
        <v>3025</v>
      </c>
      <c r="I11" s="3">
        <v>43</v>
      </c>
      <c r="J11" s="3">
        <f t="shared" si="3"/>
        <v>1849</v>
      </c>
      <c r="K11" s="3">
        <v>62</v>
      </c>
      <c r="L11" s="3">
        <f t="shared" si="4"/>
        <v>3844</v>
      </c>
      <c r="M11" s="3">
        <f>75+46</f>
        <v>121</v>
      </c>
      <c r="N11" s="3">
        <f t="shared" si="5"/>
        <v>14641</v>
      </c>
      <c r="O11" s="3">
        <f t="shared" si="11"/>
        <v>134</v>
      </c>
      <c r="P11" s="3">
        <f t="shared" si="6"/>
        <v>17956</v>
      </c>
      <c r="Q11" s="3">
        <v>18</v>
      </c>
      <c r="R11" s="3">
        <f t="shared" si="7"/>
        <v>324</v>
      </c>
      <c r="S11" s="3">
        <v>56</v>
      </c>
      <c r="T11" s="3">
        <f t="shared" si="8"/>
        <v>3136</v>
      </c>
      <c r="U11" s="3">
        <v>26</v>
      </c>
      <c r="V11" s="3">
        <f t="shared" si="9"/>
        <v>676</v>
      </c>
      <c r="W11" s="3">
        <v>112</v>
      </c>
      <c r="X11" s="3">
        <f t="shared" si="10"/>
        <v>12544</v>
      </c>
      <c r="Y11" s="4"/>
      <c r="Z11" s="4"/>
    </row>
    <row r="12" spans="1:26" ht="12.75" customHeight="1" x14ac:dyDescent="0.2">
      <c r="A12" s="4">
        <v>10</v>
      </c>
      <c r="B12" s="7" t="s">
        <v>10</v>
      </c>
      <c r="C12" s="3">
        <v>46</v>
      </c>
      <c r="D12" s="3">
        <f t="shared" si="0"/>
        <v>2116</v>
      </c>
      <c r="E12" s="3">
        <v>49</v>
      </c>
      <c r="F12" s="3">
        <f t="shared" si="1"/>
        <v>2401</v>
      </c>
      <c r="G12" s="3">
        <v>43</v>
      </c>
      <c r="H12" s="3">
        <f t="shared" si="2"/>
        <v>1849</v>
      </c>
      <c r="I12" s="3">
        <v>49</v>
      </c>
      <c r="J12" s="3">
        <f t="shared" si="3"/>
        <v>2401</v>
      </c>
      <c r="K12" s="3">
        <v>63</v>
      </c>
      <c r="L12" s="3">
        <f t="shared" si="4"/>
        <v>3969</v>
      </c>
      <c r="M12" s="3">
        <f>46+77</f>
        <v>123</v>
      </c>
      <c r="N12" s="3">
        <f t="shared" si="5"/>
        <v>15129</v>
      </c>
      <c r="O12" s="3">
        <f>46+86</f>
        <v>132</v>
      </c>
      <c r="P12" s="3">
        <f t="shared" si="6"/>
        <v>17424</v>
      </c>
      <c r="Q12" s="3">
        <v>18.5</v>
      </c>
      <c r="R12" s="3">
        <f t="shared" si="7"/>
        <v>342.25</v>
      </c>
      <c r="S12" s="3">
        <v>60</v>
      </c>
      <c r="T12" s="3">
        <f t="shared" si="8"/>
        <v>3600</v>
      </c>
      <c r="U12" s="3">
        <v>20</v>
      </c>
      <c r="V12" s="3">
        <f t="shared" si="9"/>
        <v>400</v>
      </c>
      <c r="W12" s="3">
        <v>98</v>
      </c>
      <c r="X12" s="3">
        <f t="shared" si="10"/>
        <v>9604</v>
      </c>
      <c r="Y12" s="4"/>
      <c r="Z12" s="4"/>
    </row>
    <row r="13" spans="1:26" ht="12.75" customHeight="1" x14ac:dyDescent="0.2">
      <c r="A13" s="4">
        <v>11</v>
      </c>
      <c r="B13" s="7" t="s">
        <v>11</v>
      </c>
      <c r="C13" s="3">
        <v>44</v>
      </c>
      <c r="D13" s="3">
        <f t="shared" si="0"/>
        <v>1936</v>
      </c>
      <c r="E13" s="3">
        <v>44</v>
      </c>
      <c r="F13" s="3">
        <f t="shared" si="1"/>
        <v>1936</v>
      </c>
      <c r="G13" s="3">
        <v>52</v>
      </c>
      <c r="H13" s="3">
        <f t="shared" si="2"/>
        <v>2704</v>
      </c>
      <c r="I13" s="3">
        <v>43</v>
      </c>
      <c r="J13" s="3">
        <f t="shared" si="3"/>
        <v>1849</v>
      </c>
      <c r="K13" s="3">
        <v>61</v>
      </c>
      <c r="L13" s="3">
        <f t="shared" si="4"/>
        <v>3721</v>
      </c>
      <c r="M13" s="3">
        <f>46+74</f>
        <v>120</v>
      </c>
      <c r="N13" s="3">
        <f t="shared" si="5"/>
        <v>14400</v>
      </c>
      <c r="O13" s="3">
        <f>87+46</f>
        <v>133</v>
      </c>
      <c r="P13" s="3">
        <f t="shared" si="6"/>
        <v>17689</v>
      </c>
      <c r="Q13" s="3">
        <v>16</v>
      </c>
      <c r="R13" s="3">
        <f t="shared" si="7"/>
        <v>256</v>
      </c>
      <c r="S13" s="3">
        <v>55</v>
      </c>
      <c r="T13" s="3">
        <f t="shared" si="8"/>
        <v>3025</v>
      </c>
      <c r="U13" s="3">
        <v>24</v>
      </c>
      <c r="V13" s="3">
        <f t="shared" si="9"/>
        <v>576</v>
      </c>
      <c r="W13" s="3">
        <v>112</v>
      </c>
      <c r="X13" s="3">
        <f t="shared" si="10"/>
        <v>12544</v>
      </c>
      <c r="Y13" s="4"/>
      <c r="Z13" s="4"/>
    </row>
    <row r="14" spans="1:26" ht="12.75" customHeight="1" x14ac:dyDescent="0.2">
      <c r="A14" s="4">
        <v>12</v>
      </c>
      <c r="B14" s="7" t="s">
        <v>12</v>
      </c>
      <c r="C14" s="3">
        <v>46</v>
      </c>
      <c r="D14" s="3">
        <f t="shared" si="0"/>
        <v>2116</v>
      </c>
      <c r="E14" s="3">
        <v>45</v>
      </c>
      <c r="F14" s="3">
        <f t="shared" si="1"/>
        <v>2025</v>
      </c>
      <c r="G14" s="3">
        <v>44</v>
      </c>
      <c r="H14" s="3">
        <f t="shared" si="2"/>
        <v>1936</v>
      </c>
      <c r="I14" s="3">
        <v>41</v>
      </c>
      <c r="J14" s="3">
        <f t="shared" si="3"/>
        <v>1681</v>
      </c>
      <c r="K14" s="3">
        <v>57</v>
      </c>
      <c r="L14" s="3">
        <f t="shared" si="4"/>
        <v>3249</v>
      </c>
      <c r="M14" s="3">
        <f>74.5+46</f>
        <v>120.5</v>
      </c>
      <c r="N14" s="3">
        <f t="shared" si="5"/>
        <v>14520.25</v>
      </c>
      <c r="O14" s="3">
        <f>88+46</f>
        <v>134</v>
      </c>
      <c r="P14" s="3">
        <f t="shared" si="6"/>
        <v>17956</v>
      </c>
      <c r="Q14" s="3">
        <v>14.5</v>
      </c>
      <c r="R14" s="3">
        <f t="shared" si="7"/>
        <v>210.25</v>
      </c>
      <c r="S14" s="3">
        <v>56</v>
      </c>
      <c r="T14" s="3">
        <f t="shared" si="8"/>
        <v>3136</v>
      </c>
      <c r="U14" s="3">
        <v>20</v>
      </c>
      <c r="V14" s="3">
        <f t="shared" si="9"/>
        <v>400</v>
      </c>
      <c r="W14" s="3">
        <v>101</v>
      </c>
      <c r="X14" s="3">
        <f t="shared" si="10"/>
        <v>10201</v>
      </c>
      <c r="Y14" s="4"/>
      <c r="Z14" s="4"/>
    </row>
    <row r="15" spans="1:26" ht="12.75" customHeight="1" x14ac:dyDescent="0.2">
      <c r="A15" s="4">
        <v>13</v>
      </c>
      <c r="B15" s="7" t="s">
        <v>13</v>
      </c>
      <c r="C15" s="3">
        <v>43</v>
      </c>
      <c r="D15" s="3">
        <f t="shared" si="0"/>
        <v>1849</v>
      </c>
      <c r="E15" s="3">
        <v>42</v>
      </c>
      <c r="F15" s="3">
        <f t="shared" si="1"/>
        <v>1764</v>
      </c>
      <c r="G15" s="3">
        <v>52</v>
      </c>
      <c r="H15" s="3">
        <f t="shared" si="2"/>
        <v>2704</v>
      </c>
      <c r="I15" s="3">
        <v>41</v>
      </c>
      <c r="J15" s="3">
        <f t="shared" si="3"/>
        <v>1681</v>
      </c>
      <c r="K15" s="3">
        <v>58</v>
      </c>
      <c r="L15" s="3">
        <f t="shared" si="4"/>
        <v>3364</v>
      </c>
      <c r="M15" s="3">
        <f>46+73.5</f>
        <v>119.5</v>
      </c>
      <c r="N15" s="3">
        <f t="shared" si="5"/>
        <v>14280.25</v>
      </c>
      <c r="O15" s="3">
        <f>46+85</f>
        <v>131</v>
      </c>
      <c r="P15" s="3">
        <f t="shared" si="6"/>
        <v>17161</v>
      </c>
      <c r="Q15" s="3">
        <v>17.5</v>
      </c>
      <c r="R15" s="3">
        <f t="shared" si="7"/>
        <v>306.25</v>
      </c>
      <c r="S15" s="3">
        <v>53</v>
      </c>
      <c r="T15" s="3">
        <f t="shared" si="8"/>
        <v>2809</v>
      </c>
      <c r="U15" s="3">
        <v>22</v>
      </c>
      <c r="V15" s="3">
        <f t="shared" si="9"/>
        <v>484</v>
      </c>
      <c r="W15" s="3">
        <v>112</v>
      </c>
      <c r="X15" s="3">
        <f t="shared" si="10"/>
        <v>12544</v>
      </c>
      <c r="Y15" s="4"/>
      <c r="Z15" s="4"/>
    </row>
    <row r="16" spans="1:26" ht="12.75" customHeight="1" x14ac:dyDescent="0.2">
      <c r="A16" s="4">
        <v>14</v>
      </c>
      <c r="B16" s="7" t="s">
        <v>14</v>
      </c>
      <c r="C16" s="3">
        <v>45</v>
      </c>
      <c r="D16" s="3">
        <f t="shared" si="0"/>
        <v>2025</v>
      </c>
      <c r="E16" s="3">
        <v>49</v>
      </c>
      <c r="F16" s="3">
        <f t="shared" si="1"/>
        <v>2401</v>
      </c>
      <c r="G16" s="3">
        <v>50</v>
      </c>
      <c r="H16" s="3">
        <f t="shared" si="2"/>
        <v>2500</v>
      </c>
      <c r="I16" s="3">
        <v>41</v>
      </c>
      <c r="J16" s="3">
        <f t="shared" si="3"/>
        <v>1681</v>
      </c>
      <c r="K16" s="3">
        <v>61.5</v>
      </c>
      <c r="L16" s="3">
        <f t="shared" si="4"/>
        <v>3782.25</v>
      </c>
      <c r="M16" s="3">
        <v>123</v>
      </c>
      <c r="N16" s="3">
        <f t="shared" si="5"/>
        <v>15129</v>
      </c>
      <c r="O16" s="3">
        <v>132.5</v>
      </c>
      <c r="P16" s="3">
        <f t="shared" si="6"/>
        <v>17556.25</v>
      </c>
      <c r="Q16" s="3">
        <v>17</v>
      </c>
      <c r="R16" s="3">
        <f t="shared" si="7"/>
        <v>289</v>
      </c>
      <c r="S16" s="3">
        <v>58</v>
      </c>
      <c r="T16" s="3">
        <f t="shared" si="8"/>
        <v>3364</v>
      </c>
      <c r="U16" s="3">
        <v>24</v>
      </c>
      <c r="V16" s="3">
        <f t="shared" si="9"/>
        <v>576</v>
      </c>
      <c r="W16" s="3">
        <v>101</v>
      </c>
      <c r="X16" s="3">
        <f t="shared" si="10"/>
        <v>10201</v>
      </c>
      <c r="Y16" s="4"/>
      <c r="Z16" s="4"/>
    </row>
    <row r="17" spans="1:26" ht="12.75" customHeight="1" x14ac:dyDescent="0.2">
      <c r="A17" s="4">
        <v>15</v>
      </c>
      <c r="B17" s="7" t="s">
        <v>15</v>
      </c>
      <c r="C17" s="3">
        <v>46</v>
      </c>
      <c r="D17" s="3">
        <f t="shared" si="0"/>
        <v>2116</v>
      </c>
      <c r="E17" s="3">
        <v>47</v>
      </c>
      <c r="F17" s="3">
        <f t="shared" si="1"/>
        <v>2209</v>
      </c>
      <c r="G17" s="3">
        <v>64</v>
      </c>
      <c r="H17" s="3">
        <f t="shared" si="2"/>
        <v>4096</v>
      </c>
      <c r="I17" s="3">
        <v>46</v>
      </c>
      <c r="J17" s="3">
        <f t="shared" si="3"/>
        <v>2116</v>
      </c>
      <c r="K17" s="3">
        <v>59</v>
      </c>
      <c r="L17" s="3">
        <f t="shared" si="4"/>
        <v>3481</v>
      </c>
      <c r="M17" s="3">
        <v>121</v>
      </c>
      <c r="N17" s="3">
        <f t="shared" si="5"/>
        <v>14641</v>
      </c>
      <c r="O17" s="3">
        <v>132</v>
      </c>
      <c r="P17" s="3">
        <f t="shared" si="6"/>
        <v>17424</v>
      </c>
      <c r="Q17" s="3">
        <v>16.5</v>
      </c>
      <c r="R17" s="3">
        <f t="shared" si="7"/>
        <v>272.25</v>
      </c>
      <c r="S17" s="3">
        <v>60</v>
      </c>
      <c r="T17" s="3">
        <f t="shared" si="8"/>
        <v>3600</v>
      </c>
      <c r="U17" s="3">
        <v>23</v>
      </c>
      <c r="V17" s="3">
        <f t="shared" si="9"/>
        <v>529</v>
      </c>
      <c r="W17" s="3">
        <v>101</v>
      </c>
      <c r="X17" s="3">
        <f t="shared" si="10"/>
        <v>10201</v>
      </c>
      <c r="Y17" s="4"/>
      <c r="Z17" s="4"/>
    </row>
    <row r="18" spans="1:26" ht="12.75" customHeight="1" x14ac:dyDescent="0.2">
      <c r="A18" s="4">
        <v>16</v>
      </c>
      <c r="B18" s="7" t="s">
        <v>16</v>
      </c>
      <c r="C18" s="3">
        <v>46</v>
      </c>
      <c r="D18" s="3">
        <f t="shared" si="0"/>
        <v>2116</v>
      </c>
      <c r="E18" s="3">
        <v>49</v>
      </c>
      <c r="F18" s="3">
        <f t="shared" si="1"/>
        <v>2401</v>
      </c>
      <c r="G18" s="3">
        <v>60</v>
      </c>
      <c r="H18" s="3">
        <f t="shared" si="2"/>
        <v>3600</v>
      </c>
      <c r="I18" s="3">
        <v>38</v>
      </c>
      <c r="J18" s="3">
        <f t="shared" si="3"/>
        <v>1444</v>
      </c>
      <c r="K18" s="3">
        <v>58</v>
      </c>
      <c r="L18" s="3">
        <f t="shared" si="4"/>
        <v>3364</v>
      </c>
      <c r="M18" s="3">
        <v>118</v>
      </c>
      <c r="N18" s="3">
        <f t="shared" si="5"/>
        <v>13924</v>
      </c>
      <c r="O18" s="3">
        <v>128.5</v>
      </c>
      <c r="P18" s="3">
        <f t="shared" si="6"/>
        <v>16512.25</v>
      </c>
      <c r="Q18" s="3">
        <v>16.5</v>
      </c>
      <c r="R18" s="3">
        <f t="shared" si="7"/>
        <v>272.25</v>
      </c>
      <c r="S18" s="3">
        <v>57</v>
      </c>
      <c r="T18" s="3">
        <f t="shared" si="8"/>
        <v>3249</v>
      </c>
      <c r="U18" s="3">
        <v>21</v>
      </c>
      <c r="V18" s="3">
        <f t="shared" si="9"/>
        <v>441</v>
      </c>
      <c r="W18" s="3">
        <v>101</v>
      </c>
      <c r="X18" s="3">
        <f t="shared" si="10"/>
        <v>10201</v>
      </c>
      <c r="Y18" s="4"/>
      <c r="Z18" s="4"/>
    </row>
    <row r="19" spans="1:26" ht="12.75" customHeight="1" x14ac:dyDescent="0.2">
      <c r="A19" s="4">
        <v>17</v>
      </c>
      <c r="B19" s="7" t="s">
        <v>17</v>
      </c>
      <c r="C19" s="3">
        <v>46</v>
      </c>
      <c r="D19" s="3">
        <f t="shared" si="0"/>
        <v>2116</v>
      </c>
      <c r="E19" s="3">
        <v>45.5</v>
      </c>
      <c r="F19" s="3">
        <f t="shared" si="1"/>
        <v>2070.25</v>
      </c>
      <c r="G19" s="3">
        <v>58</v>
      </c>
      <c r="H19" s="3">
        <f t="shared" si="2"/>
        <v>3364</v>
      </c>
      <c r="I19" s="3">
        <v>46</v>
      </c>
      <c r="J19" s="3">
        <f t="shared" si="3"/>
        <v>2116</v>
      </c>
      <c r="K19" s="3">
        <v>54.5</v>
      </c>
      <c r="L19" s="3">
        <f t="shared" si="4"/>
        <v>2970.25</v>
      </c>
      <c r="M19" s="3">
        <f>69+46</f>
        <v>115</v>
      </c>
      <c r="N19" s="3">
        <f t="shared" si="5"/>
        <v>13225</v>
      </c>
      <c r="O19" s="3">
        <f>46+82</f>
        <v>128</v>
      </c>
      <c r="P19" s="3">
        <f t="shared" si="6"/>
        <v>16384</v>
      </c>
      <c r="Q19" s="3">
        <v>15</v>
      </c>
      <c r="R19" s="3">
        <f t="shared" si="7"/>
        <v>225</v>
      </c>
      <c r="S19" s="3">
        <v>56</v>
      </c>
      <c r="T19" s="3">
        <f t="shared" si="8"/>
        <v>3136</v>
      </c>
      <c r="U19" s="3">
        <v>24</v>
      </c>
      <c r="V19" s="3">
        <f t="shared" si="9"/>
        <v>576</v>
      </c>
      <c r="W19" s="3">
        <v>100</v>
      </c>
      <c r="X19" s="3">
        <f t="shared" si="10"/>
        <v>10000</v>
      </c>
      <c r="Y19" s="4"/>
      <c r="Z19" s="4"/>
    </row>
    <row r="20" spans="1:26" ht="12.75" customHeight="1" x14ac:dyDescent="0.2">
      <c r="A20" s="4">
        <v>18</v>
      </c>
      <c r="B20" s="7" t="s">
        <v>18</v>
      </c>
      <c r="C20" s="3">
        <v>49.5</v>
      </c>
      <c r="D20" s="3">
        <f t="shared" si="0"/>
        <v>2450.25</v>
      </c>
      <c r="E20" s="3">
        <v>50.5</v>
      </c>
      <c r="F20" s="3">
        <f t="shared" si="1"/>
        <v>2550.25</v>
      </c>
      <c r="G20" s="3">
        <v>45.5</v>
      </c>
      <c r="H20" s="3">
        <f t="shared" si="2"/>
        <v>2070.25</v>
      </c>
      <c r="I20" s="3">
        <v>41</v>
      </c>
      <c r="J20" s="3">
        <f t="shared" si="3"/>
        <v>1681</v>
      </c>
      <c r="K20" s="3">
        <v>65</v>
      </c>
      <c r="L20" s="3">
        <f t="shared" si="4"/>
        <v>4225</v>
      </c>
      <c r="M20" s="3">
        <v>126.5</v>
      </c>
      <c r="N20" s="3">
        <f t="shared" si="5"/>
        <v>16002.25</v>
      </c>
      <c r="O20" s="3">
        <v>136.5</v>
      </c>
      <c r="P20" s="3">
        <f t="shared" si="6"/>
        <v>18632.25</v>
      </c>
      <c r="Q20" s="3">
        <v>16</v>
      </c>
      <c r="R20" s="3">
        <f t="shared" si="7"/>
        <v>256</v>
      </c>
      <c r="S20" s="3">
        <v>60.5</v>
      </c>
      <c r="T20" s="3">
        <f t="shared" si="8"/>
        <v>3660.25</v>
      </c>
      <c r="U20" s="3">
        <v>28.5</v>
      </c>
      <c r="V20" s="3">
        <f t="shared" si="9"/>
        <v>812.25</v>
      </c>
      <c r="W20" s="3">
        <v>109</v>
      </c>
      <c r="X20" s="3">
        <f t="shared" si="10"/>
        <v>11881</v>
      </c>
      <c r="Y20" s="4"/>
      <c r="Z20" s="4"/>
    </row>
    <row r="21" spans="1:26" ht="12.75" customHeight="1" x14ac:dyDescent="0.2">
      <c r="A21" s="4">
        <v>19</v>
      </c>
      <c r="B21" s="7" t="s">
        <v>19</v>
      </c>
      <c r="C21" s="3">
        <v>43.5</v>
      </c>
      <c r="D21" s="3">
        <f t="shared" si="0"/>
        <v>1892.25</v>
      </c>
      <c r="E21" s="3">
        <v>41</v>
      </c>
      <c r="F21" s="3">
        <f t="shared" si="1"/>
        <v>1681</v>
      </c>
      <c r="G21" s="3">
        <v>43</v>
      </c>
      <c r="H21" s="3">
        <f t="shared" si="2"/>
        <v>1849</v>
      </c>
      <c r="I21" s="3">
        <v>44</v>
      </c>
      <c r="J21" s="3">
        <f t="shared" si="3"/>
        <v>1936</v>
      </c>
      <c r="K21" s="3">
        <v>57.5</v>
      </c>
      <c r="L21" s="3">
        <f t="shared" si="4"/>
        <v>3306.25</v>
      </c>
      <c r="M21" s="3">
        <f>78+43.5</f>
        <v>121.5</v>
      </c>
      <c r="N21" s="3">
        <f t="shared" si="5"/>
        <v>14762.25</v>
      </c>
      <c r="O21" s="3">
        <f>88.5+43.5</f>
        <v>132</v>
      </c>
      <c r="P21" s="3">
        <f t="shared" si="6"/>
        <v>17424</v>
      </c>
      <c r="Q21" s="3">
        <v>15</v>
      </c>
      <c r="R21" s="3">
        <f t="shared" si="7"/>
        <v>225</v>
      </c>
      <c r="S21" s="3">
        <v>51</v>
      </c>
      <c r="T21" s="3">
        <f t="shared" si="8"/>
        <v>2601</v>
      </c>
      <c r="U21" s="3">
        <v>26</v>
      </c>
      <c r="V21" s="3">
        <f t="shared" si="9"/>
        <v>676</v>
      </c>
      <c r="W21" s="3">
        <v>98</v>
      </c>
      <c r="X21" s="3">
        <f t="shared" si="10"/>
        <v>9604</v>
      </c>
      <c r="Y21" s="4"/>
      <c r="Z21" s="4"/>
    </row>
    <row r="22" spans="1:26" ht="12.75" customHeight="1" x14ac:dyDescent="0.2">
      <c r="A22" s="4">
        <v>20</v>
      </c>
      <c r="B22" s="7" t="s">
        <v>20</v>
      </c>
      <c r="C22" s="3">
        <v>43.5</v>
      </c>
      <c r="D22" s="3">
        <f t="shared" si="0"/>
        <v>1892.25</v>
      </c>
      <c r="E22" s="3">
        <v>41.5</v>
      </c>
      <c r="F22" s="3">
        <f t="shared" si="1"/>
        <v>1722.25</v>
      </c>
      <c r="G22" s="3">
        <v>40</v>
      </c>
      <c r="H22" s="3">
        <f t="shared" si="2"/>
        <v>1600</v>
      </c>
      <c r="I22" s="3">
        <v>40</v>
      </c>
      <c r="J22" s="3">
        <f t="shared" si="3"/>
        <v>1600</v>
      </c>
      <c r="K22" s="3">
        <v>56</v>
      </c>
      <c r="L22" s="3">
        <f t="shared" si="4"/>
        <v>3136</v>
      </c>
      <c r="M22" s="3">
        <v>112.5</v>
      </c>
      <c r="N22" s="3">
        <f t="shared" si="5"/>
        <v>12656.25</v>
      </c>
      <c r="O22" s="3">
        <v>123.5</v>
      </c>
      <c r="P22" s="3">
        <f t="shared" si="6"/>
        <v>15252.25</v>
      </c>
      <c r="Q22" s="3">
        <v>16</v>
      </c>
      <c r="R22" s="3">
        <f t="shared" si="7"/>
        <v>256</v>
      </c>
      <c r="S22" s="3">
        <v>52</v>
      </c>
      <c r="T22" s="3">
        <f t="shared" si="8"/>
        <v>2704</v>
      </c>
      <c r="U22" s="3">
        <v>26</v>
      </c>
      <c r="V22" s="3">
        <f t="shared" si="9"/>
        <v>676</v>
      </c>
      <c r="W22" s="3">
        <v>98</v>
      </c>
      <c r="X22" s="3">
        <f t="shared" si="10"/>
        <v>9604</v>
      </c>
      <c r="Y22" s="4"/>
      <c r="Z22" s="4"/>
    </row>
    <row r="23" spans="1:26" ht="12.75" customHeight="1" x14ac:dyDescent="0.2">
      <c r="A23" s="4">
        <v>21</v>
      </c>
      <c r="B23" s="7" t="s">
        <v>21</v>
      </c>
      <c r="C23" s="3">
        <v>42</v>
      </c>
      <c r="D23" s="3">
        <f t="shared" si="0"/>
        <v>1764</v>
      </c>
      <c r="E23" s="3">
        <v>45</v>
      </c>
      <c r="F23" s="3">
        <f t="shared" si="1"/>
        <v>2025</v>
      </c>
      <c r="G23" s="3">
        <v>40.5</v>
      </c>
      <c r="H23" s="3">
        <f t="shared" si="2"/>
        <v>1640.25</v>
      </c>
      <c r="I23" s="3">
        <v>44</v>
      </c>
      <c r="J23" s="3">
        <f t="shared" si="3"/>
        <v>1936</v>
      </c>
      <c r="K23" s="3">
        <v>53</v>
      </c>
      <c r="L23" s="3">
        <f t="shared" si="4"/>
        <v>2809</v>
      </c>
      <c r="M23" s="3">
        <f>69+42</f>
        <v>111</v>
      </c>
      <c r="N23" s="3">
        <f t="shared" si="5"/>
        <v>12321</v>
      </c>
      <c r="O23" s="3">
        <f>79+42</f>
        <v>121</v>
      </c>
      <c r="P23" s="3">
        <f t="shared" si="6"/>
        <v>14641</v>
      </c>
      <c r="Q23" s="3">
        <v>17</v>
      </c>
      <c r="R23" s="3">
        <f t="shared" si="7"/>
        <v>289</v>
      </c>
      <c r="S23" s="3">
        <v>53</v>
      </c>
      <c r="T23" s="3">
        <f t="shared" si="8"/>
        <v>2809</v>
      </c>
      <c r="U23" s="3">
        <v>28</v>
      </c>
      <c r="V23" s="3">
        <f t="shared" si="9"/>
        <v>784</v>
      </c>
      <c r="W23" s="3">
        <v>101</v>
      </c>
      <c r="X23" s="3">
        <f t="shared" si="10"/>
        <v>10201</v>
      </c>
      <c r="Y23" s="4"/>
      <c r="Z23" s="4"/>
    </row>
    <row r="24" spans="1:26" ht="12.75" customHeight="1" x14ac:dyDescent="0.2">
      <c r="A24" s="4">
        <v>22</v>
      </c>
      <c r="B24" s="7" t="s">
        <v>22</v>
      </c>
      <c r="C24" s="3">
        <v>42</v>
      </c>
      <c r="D24" s="3">
        <f t="shared" si="0"/>
        <v>1764</v>
      </c>
      <c r="E24" s="3">
        <v>40.5</v>
      </c>
      <c r="F24" s="3">
        <f t="shared" si="1"/>
        <v>1640.25</v>
      </c>
      <c r="G24" s="3">
        <v>37</v>
      </c>
      <c r="H24" s="3">
        <f t="shared" si="2"/>
        <v>1369</v>
      </c>
      <c r="I24" s="3">
        <v>39</v>
      </c>
      <c r="J24" s="3">
        <f t="shared" si="3"/>
        <v>1521</v>
      </c>
      <c r="K24" s="3">
        <v>50.5</v>
      </c>
      <c r="L24" s="3">
        <f t="shared" si="4"/>
        <v>2550.25</v>
      </c>
      <c r="M24" s="3">
        <v>109</v>
      </c>
      <c r="N24" s="3">
        <f t="shared" si="5"/>
        <v>11881</v>
      </c>
      <c r="O24" s="3">
        <v>120</v>
      </c>
      <c r="P24" s="3">
        <f t="shared" si="6"/>
        <v>14400</v>
      </c>
      <c r="Q24" s="3">
        <v>14</v>
      </c>
      <c r="R24" s="3">
        <f t="shared" si="7"/>
        <v>196</v>
      </c>
      <c r="S24" s="3">
        <v>50.5</v>
      </c>
      <c r="T24" s="3">
        <f t="shared" si="8"/>
        <v>2550.25</v>
      </c>
      <c r="U24" s="3">
        <v>23.5</v>
      </c>
      <c r="V24" s="3">
        <f t="shared" si="9"/>
        <v>552.25</v>
      </c>
      <c r="W24" s="3">
        <v>101</v>
      </c>
      <c r="X24" s="3">
        <f t="shared" si="10"/>
        <v>10201</v>
      </c>
      <c r="Y24" s="4"/>
      <c r="Z24" s="4"/>
    </row>
    <row r="25" spans="1:26" ht="12.75" customHeight="1" x14ac:dyDescent="0.2">
      <c r="A25" s="4">
        <v>23</v>
      </c>
      <c r="B25" s="7" t="s">
        <v>23</v>
      </c>
      <c r="C25" s="3">
        <v>40.5</v>
      </c>
      <c r="D25" s="3">
        <f t="shared" si="0"/>
        <v>1640.25</v>
      </c>
      <c r="E25" s="3">
        <v>36.5</v>
      </c>
      <c r="F25" s="3">
        <f t="shared" si="1"/>
        <v>1332.25</v>
      </c>
      <c r="G25" s="3">
        <v>43.5</v>
      </c>
      <c r="H25" s="3">
        <f t="shared" si="2"/>
        <v>1892.25</v>
      </c>
      <c r="I25" s="3">
        <v>44</v>
      </c>
      <c r="J25" s="3">
        <f t="shared" si="3"/>
        <v>1936</v>
      </c>
      <c r="K25" s="3">
        <v>53.5</v>
      </c>
      <c r="L25" s="3">
        <f t="shared" si="4"/>
        <v>2862.25</v>
      </c>
      <c r="M25" s="3">
        <v>108</v>
      </c>
      <c r="N25" s="3">
        <f t="shared" si="5"/>
        <v>11664</v>
      </c>
      <c r="O25" s="3">
        <v>118</v>
      </c>
      <c r="P25" s="3">
        <f t="shared" si="6"/>
        <v>13924</v>
      </c>
      <c r="Q25" s="3">
        <v>16</v>
      </c>
      <c r="R25" s="3">
        <f t="shared" si="7"/>
        <v>256</v>
      </c>
      <c r="S25" s="3">
        <v>50</v>
      </c>
      <c r="T25" s="3">
        <f t="shared" si="8"/>
        <v>2500</v>
      </c>
      <c r="U25" s="3">
        <v>25</v>
      </c>
      <c r="V25" s="3">
        <f t="shared" si="9"/>
        <v>625</v>
      </c>
      <c r="W25" s="3">
        <v>101</v>
      </c>
      <c r="X25" s="3">
        <f t="shared" si="10"/>
        <v>10201</v>
      </c>
      <c r="Y25" s="4"/>
      <c r="Z25" s="4"/>
    </row>
    <row r="26" spans="1:26" ht="12.75" customHeight="1" x14ac:dyDescent="0.2">
      <c r="A26" s="4">
        <v>24</v>
      </c>
      <c r="B26" s="7" t="s">
        <v>24</v>
      </c>
      <c r="C26" s="3">
        <v>46</v>
      </c>
      <c r="D26" s="3">
        <f t="shared" si="0"/>
        <v>2116</v>
      </c>
      <c r="E26" s="3">
        <v>47</v>
      </c>
      <c r="F26" s="3">
        <f t="shared" si="1"/>
        <v>2209</v>
      </c>
      <c r="G26" s="3">
        <v>39</v>
      </c>
      <c r="H26" s="3">
        <f t="shared" si="2"/>
        <v>1521</v>
      </c>
      <c r="I26" s="3">
        <v>46</v>
      </c>
      <c r="J26" s="3">
        <f t="shared" si="3"/>
        <v>2116</v>
      </c>
      <c r="K26" s="3">
        <v>56</v>
      </c>
      <c r="L26" s="3">
        <f t="shared" si="4"/>
        <v>3136</v>
      </c>
      <c r="M26" s="3">
        <v>102</v>
      </c>
      <c r="N26" s="3">
        <f t="shared" si="5"/>
        <v>10404</v>
      </c>
      <c r="O26" s="3">
        <f>84+46</f>
        <v>130</v>
      </c>
      <c r="P26" s="3">
        <f t="shared" si="6"/>
        <v>16900</v>
      </c>
      <c r="Q26" s="3">
        <v>17</v>
      </c>
      <c r="R26" s="3">
        <f t="shared" si="7"/>
        <v>289</v>
      </c>
      <c r="S26" s="3">
        <v>61</v>
      </c>
      <c r="T26" s="3">
        <f t="shared" si="8"/>
        <v>3721</v>
      </c>
      <c r="U26" s="3">
        <v>20</v>
      </c>
      <c r="V26" s="3">
        <f t="shared" si="9"/>
        <v>400</v>
      </c>
      <c r="W26" s="3">
        <v>101</v>
      </c>
      <c r="X26" s="3">
        <f t="shared" si="10"/>
        <v>10201</v>
      </c>
      <c r="Y26" s="4"/>
      <c r="Z26" s="4"/>
    </row>
    <row r="27" spans="1:26" ht="12.75" customHeight="1" x14ac:dyDescent="0.2">
      <c r="A27" s="4">
        <v>25</v>
      </c>
      <c r="B27" s="7" t="s">
        <v>25</v>
      </c>
      <c r="C27" s="3">
        <v>40.5</v>
      </c>
      <c r="D27" s="3">
        <f t="shared" si="0"/>
        <v>1640.25</v>
      </c>
      <c r="E27" s="3">
        <v>44.5</v>
      </c>
      <c r="F27" s="3">
        <f t="shared" si="1"/>
        <v>1980.25</v>
      </c>
      <c r="G27" s="3">
        <v>40.5</v>
      </c>
      <c r="H27" s="3">
        <f t="shared" si="2"/>
        <v>1640.25</v>
      </c>
      <c r="I27" s="3">
        <v>39.5</v>
      </c>
      <c r="J27" s="3">
        <f t="shared" si="3"/>
        <v>1560.25</v>
      </c>
      <c r="K27" s="3">
        <v>55</v>
      </c>
      <c r="L27" s="3">
        <f t="shared" si="4"/>
        <v>3025</v>
      </c>
      <c r="M27" s="3">
        <v>109</v>
      </c>
      <c r="N27" s="3">
        <f t="shared" si="5"/>
        <v>11881</v>
      </c>
      <c r="O27" s="3">
        <v>119</v>
      </c>
      <c r="P27" s="3">
        <f t="shared" si="6"/>
        <v>14161</v>
      </c>
      <c r="Q27" s="3">
        <v>15.5</v>
      </c>
      <c r="R27" s="3">
        <f t="shared" si="7"/>
        <v>240.25</v>
      </c>
      <c r="S27" s="3">
        <v>55</v>
      </c>
      <c r="T27" s="3">
        <f t="shared" si="8"/>
        <v>3025</v>
      </c>
      <c r="U27" s="3">
        <v>25</v>
      </c>
      <c r="V27" s="3">
        <f t="shared" si="9"/>
        <v>625</v>
      </c>
      <c r="W27" s="3">
        <v>101</v>
      </c>
      <c r="X27" s="3">
        <f t="shared" si="10"/>
        <v>10201</v>
      </c>
      <c r="Y27" s="4"/>
      <c r="Z27" s="4"/>
    </row>
    <row r="28" spans="1:26" ht="12.75" customHeight="1" x14ac:dyDescent="0.2">
      <c r="A28" s="4">
        <v>26</v>
      </c>
      <c r="B28" s="7" t="s">
        <v>26</v>
      </c>
      <c r="C28" s="3">
        <v>43</v>
      </c>
      <c r="D28" s="3">
        <f t="shared" si="0"/>
        <v>1849</v>
      </c>
      <c r="E28" s="3">
        <v>48</v>
      </c>
      <c r="F28" s="3">
        <f t="shared" si="1"/>
        <v>2304</v>
      </c>
      <c r="G28" s="3">
        <v>57.5</v>
      </c>
      <c r="H28" s="3">
        <f t="shared" si="2"/>
        <v>3306.25</v>
      </c>
      <c r="I28" s="3">
        <v>46</v>
      </c>
      <c r="J28" s="3">
        <f t="shared" si="3"/>
        <v>2116</v>
      </c>
      <c r="K28" s="3">
        <v>60</v>
      </c>
      <c r="L28" s="3">
        <f t="shared" si="4"/>
        <v>3600</v>
      </c>
      <c r="M28" s="3">
        <v>118</v>
      </c>
      <c r="N28" s="3">
        <f t="shared" si="5"/>
        <v>13924</v>
      </c>
      <c r="O28" s="3">
        <v>130.5</v>
      </c>
      <c r="P28" s="3">
        <f t="shared" si="6"/>
        <v>17030.25</v>
      </c>
      <c r="Q28" s="3">
        <v>15</v>
      </c>
      <c r="R28" s="3">
        <f t="shared" si="7"/>
        <v>225</v>
      </c>
      <c r="S28" s="3">
        <v>57</v>
      </c>
      <c r="T28" s="3">
        <f t="shared" si="8"/>
        <v>3249</v>
      </c>
      <c r="U28" s="3">
        <v>27</v>
      </c>
      <c r="V28" s="3">
        <f t="shared" si="9"/>
        <v>729</v>
      </c>
      <c r="W28" s="3">
        <v>101</v>
      </c>
      <c r="X28" s="3">
        <f t="shared" si="10"/>
        <v>10201</v>
      </c>
      <c r="Y28" s="4"/>
      <c r="Z28" s="4"/>
    </row>
    <row r="29" spans="1:26" ht="12.75" customHeight="1" x14ac:dyDescent="0.2">
      <c r="A29" s="4">
        <v>27</v>
      </c>
      <c r="B29" s="7" t="s">
        <v>27</v>
      </c>
      <c r="C29" s="3">
        <v>47</v>
      </c>
      <c r="D29" s="3">
        <f t="shared" si="0"/>
        <v>2209</v>
      </c>
      <c r="E29" s="3">
        <v>51</v>
      </c>
      <c r="F29" s="3">
        <f t="shared" si="1"/>
        <v>2601</v>
      </c>
      <c r="G29" s="3">
        <v>53</v>
      </c>
      <c r="H29" s="3">
        <f t="shared" si="2"/>
        <v>2809</v>
      </c>
      <c r="I29" s="3">
        <v>42</v>
      </c>
      <c r="J29" s="3">
        <f t="shared" si="3"/>
        <v>1764</v>
      </c>
      <c r="K29" s="3">
        <v>56.5</v>
      </c>
      <c r="L29" s="3">
        <f t="shared" si="4"/>
        <v>3192.25</v>
      </c>
      <c r="M29" s="3">
        <v>116</v>
      </c>
      <c r="N29" s="3">
        <f t="shared" si="5"/>
        <v>13456</v>
      </c>
      <c r="O29" s="3">
        <v>126.5</v>
      </c>
      <c r="P29" s="3">
        <f t="shared" si="6"/>
        <v>16002.25</v>
      </c>
      <c r="Q29" s="3">
        <v>17</v>
      </c>
      <c r="R29" s="3">
        <f t="shared" si="7"/>
        <v>289</v>
      </c>
      <c r="S29" s="3">
        <v>57</v>
      </c>
      <c r="T29" s="3">
        <f t="shared" si="8"/>
        <v>3249</v>
      </c>
      <c r="U29" s="3">
        <v>27</v>
      </c>
      <c r="V29" s="3">
        <f t="shared" si="9"/>
        <v>729</v>
      </c>
      <c r="W29" s="3">
        <v>101</v>
      </c>
      <c r="X29" s="3">
        <f t="shared" si="10"/>
        <v>10201</v>
      </c>
      <c r="Y29" s="4"/>
      <c r="Z29" s="4"/>
    </row>
    <row r="30" spans="1:26" ht="12.75" customHeight="1" x14ac:dyDescent="0.2">
      <c r="A30" s="4">
        <v>28</v>
      </c>
      <c r="B30" s="7" t="s">
        <v>28</v>
      </c>
      <c r="C30" s="3">
        <v>43</v>
      </c>
      <c r="D30" s="3">
        <f t="shared" si="0"/>
        <v>1849</v>
      </c>
      <c r="E30" s="3">
        <v>47</v>
      </c>
      <c r="F30" s="3">
        <f t="shared" si="1"/>
        <v>2209</v>
      </c>
      <c r="G30" s="3">
        <v>53</v>
      </c>
      <c r="H30" s="3">
        <f t="shared" si="2"/>
        <v>2809</v>
      </c>
      <c r="I30" s="3">
        <v>38</v>
      </c>
      <c r="J30" s="3">
        <f t="shared" si="3"/>
        <v>1444</v>
      </c>
      <c r="K30" s="3">
        <v>54.5</v>
      </c>
      <c r="L30" s="3">
        <f t="shared" si="4"/>
        <v>2970.25</v>
      </c>
      <c r="M30" s="3">
        <v>111</v>
      </c>
      <c r="N30" s="3">
        <f t="shared" si="5"/>
        <v>12321</v>
      </c>
      <c r="O30" s="3">
        <v>122</v>
      </c>
      <c r="P30" s="3">
        <f t="shared" si="6"/>
        <v>14884</v>
      </c>
      <c r="Q30" s="3">
        <v>15.5</v>
      </c>
      <c r="R30" s="3">
        <f t="shared" si="7"/>
        <v>240.25</v>
      </c>
      <c r="S30" s="3">
        <v>54</v>
      </c>
      <c r="T30" s="3">
        <f t="shared" si="8"/>
        <v>2916</v>
      </c>
      <c r="U30" s="3">
        <v>23</v>
      </c>
      <c r="V30" s="3">
        <f t="shared" si="9"/>
        <v>529</v>
      </c>
      <c r="W30" s="3">
        <v>101</v>
      </c>
      <c r="X30" s="3">
        <f t="shared" si="10"/>
        <v>10201</v>
      </c>
      <c r="Y30" s="4"/>
      <c r="Z30" s="4"/>
    </row>
    <row r="31" spans="1:26" ht="12.75" customHeight="1" x14ac:dyDescent="0.2">
      <c r="A31" s="4">
        <v>29</v>
      </c>
      <c r="B31" s="7" t="s">
        <v>29</v>
      </c>
      <c r="C31" s="3">
        <v>43</v>
      </c>
      <c r="D31" s="3">
        <f t="shared" si="0"/>
        <v>1849</v>
      </c>
      <c r="E31" s="3">
        <v>47</v>
      </c>
      <c r="F31" s="3">
        <f t="shared" si="1"/>
        <v>2209</v>
      </c>
      <c r="G31" s="3">
        <v>52</v>
      </c>
      <c r="H31" s="3">
        <f t="shared" si="2"/>
        <v>2704</v>
      </c>
      <c r="I31" s="3">
        <v>34</v>
      </c>
      <c r="J31" s="3">
        <f t="shared" si="3"/>
        <v>1156</v>
      </c>
      <c r="K31" s="3">
        <v>54</v>
      </c>
      <c r="L31" s="3">
        <f t="shared" si="4"/>
        <v>2916</v>
      </c>
      <c r="M31" s="3">
        <v>112</v>
      </c>
      <c r="N31" s="3">
        <f t="shared" si="5"/>
        <v>12544</v>
      </c>
      <c r="O31" s="3">
        <v>121</v>
      </c>
      <c r="P31" s="3">
        <f t="shared" si="6"/>
        <v>14641</v>
      </c>
      <c r="Q31" s="3">
        <v>12.5</v>
      </c>
      <c r="R31" s="3">
        <f t="shared" si="7"/>
        <v>156.25</v>
      </c>
      <c r="S31" s="3">
        <v>53</v>
      </c>
      <c r="T31" s="3">
        <f t="shared" si="8"/>
        <v>2809</v>
      </c>
      <c r="U31" s="3">
        <v>26</v>
      </c>
      <c r="V31" s="3">
        <f t="shared" si="9"/>
        <v>676</v>
      </c>
      <c r="W31" s="3">
        <v>101</v>
      </c>
      <c r="X31" s="3">
        <f t="shared" si="10"/>
        <v>10201</v>
      </c>
      <c r="Y31" s="4"/>
      <c r="Z31" s="4"/>
    </row>
    <row r="32" spans="1:26" ht="12.75" customHeight="1" x14ac:dyDescent="0.2">
      <c r="A32" s="4">
        <v>30</v>
      </c>
      <c r="B32" s="7" t="s">
        <v>30</v>
      </c>
      <c r="C32" s="3">
        <v>42</v>
      </c>
      <c r="D32" s="3">
        <f t="shared" si="0"/>
        <v>1764</v>
      </c>
      <c r="E32" s="3">
        <v>47.5</v>
      </c>
      <c r="F32" s="3">
        <f t="shared" si="1"/>
        <v>2256.25</v>
      </c>
      <c r="G32" s="3">
        <v>51</v>
      </c>
      <c r="H32" s="3">
        <f t="shared" si="2"/>
        <v>2601</v>
      </c>
      <c r="I32" s="3">
        <v>37.5</v>
      </c>
      <c r="J32" s="3">
        <f t="shared" si="3"/>
        <v>1406.25</v>
      </c>
      <c r="K32" s="3">
        <v>50.5</v>
      </c>
      <c r="L32" s="3">
        <f t="shared" si="4"/>
        <v>2550.25</v>
      </c>
      <c r="M32" s="3">
        <v>108</v>
      </c>
      <c r="N32" s="3">
        <f t="shared" si="5"/>
        <v>11664</v>
      </c>
      <c r="O32" s="3">
        <v>121</v>
      </c>
      <c r="P32" s="3">
        <f t="shared" si="6"/>
        <v>14641</v>
      </c>
      <c r="Q32" s="3">
        <v>12.5</v>
      </c>
      <c r="R32" s="3">
        <f t="shared" si="7"/>
        <v>156.25</v>
      </c>
      <c r="S32" s="3">
        <v>53</v>
      </c>
      <c r="T32" s="3">
        <f t="shared" si="8"/>
        <v>2809</v>
      </c>
      <c r="U32" s="3">
        <v>23</v>
      </c>
      <c r="V32" s="3">
        <f t="shared" si="9"/>
        <v>529</v>
      </c>
      <c r="W32" s="3">
        <v>101</v>
      </c>
      <c r="X32" s="3">
        <f t="shared" si="10"/>
        <v>10201</v>
      </c>
      <c r="Y32" s="4"/>
      <c r="Z32" s="4"/>
    </row>
    <row r="33" spans="1:26" ht="12.75" customHeight="1" x14ac:dyDescent="0.2">
      <c r="A33" s="4">
        <v>31</v>
      </c>
      <c r="B33" s="7" t="s">
        <v>31</v>
      </c>
      <c r="C33" s="3">
        <v>49</v>
      </c>
      <c r="D33" s="3">
        <f t="shared" si="0"/>
        <v>2401</v>
      </c>
      <c r="E33" s="3">
        <v>51</v>
      </c>
      <c r="F33" s="3">
        <f t="shared" si="1"/>
        <v>2601</v>
      </c>
      <c r="G33" s="3">
        <v>58</v>
      </c>
      <c r="H33" s="3">
        <f t="shared" si="2"/>
        <v>3364</v>
      </c>
      <c r="I33" s="3">
        <v>48</v>
      </c>
      <c r="J33" s="3">
        <f t="shared" si="3"/>
        <v>2304</v>
      </c>
      <c r="K33" s="3">
        <v>68</v>
      </c>
      <c r="L33" s="3">
        <f t="shared" si="4"/>
        <v>4624</v>
      </c>
      <c r="M33" s="3">
        <v>129</v>
      </c>
      <c r="N33" s="3">
        <f t="shared" si="5"/>
        <v>16641</v>
      </c>
      <c r="O33" s="3">
        <f>94+43</f>
        <v>137</v>
      </c>
      <c r="P33" s="3">
        <f t="shared" si="6"/>
        <v>18769</v>
      </c>
      <c r="Q33" s="3">
        <v>19</v>
      </c>
      <c r="R33" s="3">
        <f t="shared" si="7"/>
        <v>361</v>
      </c>
      <c r="S33" s="3">
        <v>62</v>
      </c>
      <c r="T33" s="3">
        <f t="shared" si="8"/>
        <v>3844</v>
      </c>
      <c r="U33" s="3">
        <v>25</v>
      </c>
      <c r="V33" s="3">
        <f t="shared" si="9"/>
        <v>625</v>
      </c>
      <c r="W33" s="3">
        <v>101</v>
      </c>
      <c r="X33" s="3">
        <f t="shared" si="10"/>
        <v>10201</v>
      </c>
      <c r="Y33" s="4"/>
      <c r="Z33" s="4"/>
    </row>
    <row r="34" spans="1:26" ht="12.75" customHeight="1" x14ac:dyDescent="0.2">
      <c r="A34" s="4">
        <v>32</v>
      </c>
      <c r="B34" s="7" t="s">
        <v>32</v>
      </c>
      <c r="C34" s="3">
        <v>46</v>
      </c>
      <c r="D34" s="3">
        <f t="shared" si="0"/>
        <v>2116</v>
      </c>
      <c r="E34" s="3">
        <v>48</v>
      </c>
      <c r="F34" s="3">
        <f t="shared" si="1"/>
        <v>2304</v>
      </c>
      <c r="G34" s="3">
        <v>49.5</v>
      </c>
      <c r="H34" s="3">
        <f t="shared" si="2"/>
        <v>2450.25</v>
      </c>
      <c r="I34" s="3">
        <v>42</v>
      </c>
      <c r="J34" s="3">
        <f t="shared" si="3"/>
        <v>1764</v>
      </c>
      <c r="K34" s="3">
        <v>61</v>
      </c>
      <c r="L34" s="3">
        <f t="shared" si="4"/>
        <v>3721</v>
      </c>
      <c r="M34" s="3">
        <v>121</v>
      </c>
      <c r="N34" s="3">
        <f t="shared" si="5"/>
        <v>14641</v>
      </c>
      <c r="O34" s="3">
        <v>131.5</v>
      </c>
      <c r="P34" s="3">
        <f t="shared" si="6"/>
        <v>17292.25</v>
      </c>
      <c r="Q34" s="3">
        <v>14</v>
      </c>
      <c r="R34" s="3">
        <f t="shared" si="7"/>
        <v>196</v>
      </c>
      <c r="S34" s="3">
        <v>56.5</v>
      </c>
      <c r="T34" s="3">
        <f t="shared" si="8"/>
        <v>3192.25</v>
      </c>
      <c r="U34" s="3">
        <v>23.5</v>
      </c>
      <c r="V34" s="3">
        <f t="shared" si="9"/>
        <v>552.25</v>
      </c>
      <c r="W34" s="3">
        <v>109</v>
      </c>
      <c r="X34" s="3">
        <f t="shared" si="10"/>
        <v>11881</v>
      </c>
      <c r="Y34" s="4"/>
      <c r="Z34" s="4"/>
    </row>
    <row r="35" spans="1:26" ht="12.75" customHeight="1" x14ac:dyDescent="0.2">
      <c r="A35" s="8" t="s">
        <v>58</v>
      </c>
      <c r="B35" s="9"/>
      <c r="C35" s="9">
        <f t="shared" ref="C35:X35" si="12">SUM(C3:C34)</f>
        <v>1431.5</v>
      </c>
      <c r="D35" s="9">
        <f t="shared" si="12"/>
        <v>64215.75</v>
      </c>
      <c r="E35" s="9">
        <f t="shared" si="12"/>
        <v>1467.5</v>
      </c>
      <c r="F35" s="9">
        <f t="shared" si="12"/>
        <v>67661.25</v>
      </c>
      <c r="G35" s="9">
        <f t="shared" si="12"/>
        <v>1612.5</v>
      </c>
      <c r="H35" s="9">
        <f t="shared" si="12"/>
        <v>82878.75</v>
      </c>
      <c r="I35" s="9">
        <f t="shared" si="12"/>
        <v>1348</v>
      </c>
      <c r="J35" s="9">
        <f t="shared" si="12"/>
        <v>57117.5</v>
      </c>
      <c r="K35" s="9">
        <f t="shared" si="12"/>
        <v>1877.5</v>
      </c>
      <c r="L35" s="9">
        <f t="shared" si="12"/>
        <v>110886.25</v>
      </c>
      <c r="M35" s="9">
        <f t="shared" si="12"/>
        <v>3755.5</v>
      </c>
      <c r="N35" s="9">
        <f t="shared" si="12"/>
        <v>442054.75</v>
      </c>
      <c r="O35" s="9">
        <f t="shared" si="12"/>
        <v>4122.5</v>
      </c>
      <c r="P35" s="9">
        <f t="shared" si="12"/>
        <v>532222.25</v>
      </c>
      <c r="Q35" s="9">
        <f t="shared" si="12"/>
        <v>517</v>
      </c>
      <c r="R35" s="9">
        <f t="shared" si="12"/>
        <v>8443.5</v>
      </c>
      <c r="S35" s="9">
        <f t="shared" si="12"/>
        <v>1783.5</v>
      </c>
      <c r="T35" s="9">
        <f t="shared" si="12"/>
        <v>99763.25</v>
      </c>
      <c r="U35" s="9">
        <f t="shared" si="12"/>
        <v>768.5</v>
      </c>
      <c r="V35" s="9">
        <f t="shared" si="12"/>
        <v>18689.75</v>
      </c>
      <c r="W35" s="9">
        <f t="shared" si="12"/>
        <v>3319</v>
      </c>
      <c r="X35" s="9">
        <f t="shared" si="12"/>
        <v>344913</v>
      </c>
      <c r="Y35" s="9"/>
      <c r="Z35" s="9"/>
    </row>
    <row r="36" spans="1:26" ht="12.75" customHeight="1" x14ac:dyDescent="0.2">
      <c r="A36" s="5" t="s">
        <v>59</v>
      </c>
      <c r="B36" s="5"/>
      <c r="C36" s="10">
        <f>AVERAGE(C3:C34)</f>
        <v>44.734375</v>
      </c>
      <c r="D36" s="10"/>
      <c r="E36" s="10">
        <f>AVERAGE(E3:E34)</f>
        <v>45.859375</v>
      </c>
      <c r="F36" s="10"/>
      <c r="G36" s="10">
        <f>AVERAGE(G3:G34)</f>
        <v>50.390625</v>
      </c>
      <c r="H36" s="10"/>
      <c r="I36" s="10">
        <f>AVERAGE(I3:I34)</f>
        <v>42.125</v>
      </c>
      <c r="J36" s="10"/>
      <c r="K36" s="10">
        <f>AVERAGE(K3:K34)</f>
        <v>58.671875</v>
      </c>
      <c r="L36" s="10"/>
      <c r="M36" s="10">
        <f>AVERAGE(M3:M32)</f>
        <v>116.85</v>
      </c>
      <c r="N36" s="10"/>
      <c r="O36" s="10">
        <f>AVERAGE(O3:O32)</f>
        <v>128.46666666666667</v>
      </c>
      <c r="P36" s="10"/>
      <c r="Q36" s="10">
        <f>AVERAGE(Q3:Q34)</f>
        <v>16.15625</v>
      </c>
      <c r="R36" s="10"/>
      <c r="S36" s="10">
        <f>AVERAGE(S3:S34)</f>
        <v>55.734375</v>
      </c>
      <c r="T36" s="10"/>
      <c r="U36" s="10">
        <f>AVERAGE(U3:U34)</f>
        <v>24.015625</v>
      </c>
      <c r="V36" s="10"/>
      <c r="W36" s="10">
        <f>AVERAGE(W3:W34)</f>
        <v>103.71875</v>
      </c>
      <c r="X36" s="3"/>
      <c r="Y36" s="4"/>
      <c r="Z36" s="4"/>
    </row>
    <row r="37" spans="1:26" ht="12.75" customHeight="1" x14ac:dyDescent="0.2">
      <c r="A37" s="5" t="s">
        <v>60</v>
      </c>
      <c r="B37" s="5"/>
      <c r="C37" s="10">
        <f>_xlfn.STDEV.P(C3:C32)</f>
        <v>2.2925604317734645</v>
      </c>
      <c r="D37" s="10"/>
      <c r="E37" s="10">
        <f>_xlfn.STDEV.P(E3:E32)</f>
        <v>3.3158290399570092</v>
      </c>
      <c r="F37" s="10"/>
      <c r="G37" s="10">
        <f>_xlfn.STDEV.P(G3:G32)</f>
        <v>7.2195721633779808</v>
      </c>
      <c r="H37" s="10"/>
      <c r="I37" s="10">
        <f>_xlfn.STDEV.P(I3:I32)</f>
        <v>3.1483681840315665</v>
      </c>
      <c r="J37" s="10"/>
      <c r="K37" s="10">
        <f>_xlfn.STDEV.P(K3:K32)</f>
        <v>4.5928991086482851</v>
      </c>
      <c r="L37" s="10"/>
      <c r="M37" s="10">
        <f>_xlfn.STDEV.P(M3:M32)</f>
        <v>6.2050382754661557</v>
      </c>
      <c r="N37" s="10"/>
      <c r="O37" s="10">
        <f>_xlfn.STDEV.P(O3:O32)</f>
        <v>5.9173943214522691</v>
      </c>
      <c r="P37" s="10"/>
      <c r="Q37" s="10">
        <f>_xlfn.STDEV.P(Q3:Q32)</f>
        <v>1.6121069719125001</v>
      </c>
      <c r="R37" s="10"/>
      <c r="S37" s="10">
        <f>_xlfn.STDEV.P(S3:S32)</f>
        <v>3.2634337744161441</v>
      </c>
      <c r="T37" s="10"/>
      <c r="U37" s="10">
        <f>_xlfn.STDEV.P(U3:U32)</f>
        <v>2.7838821814150108</v>
      </c>
      <c r="V37" s="10"/>
      <c r="W37" s="10">
        <f>_xlfn.STDEV.P(W3:W32)</f>
        <v>4.6006038251033479</v>
      </c>
      <c r="X37" s="3"/>
      <c r="Y37" s="4"/>
      <c r="Z37" s="4"/>
    </row>
    <row r="38" spans="1:26" ht="12.75" customHeight="1" x14ac:dyDescent="0.2">
      <c r="A38" s="11" t="s">
        <v>61</v>
      </c>
      <c r="B38" s="12"/>
      <c r="C38" s="12" t="str">
        <f>IF(D38&gt;$C$41,"Data Kurang","Data Cukup")</f>
        <v>Data Cukup</v>
      </c>
      <c r="D38" s="13">
        <f>ROUNDUP((($C$39/$C$40)*SQRT($C$41*D35-C35^2)/C35)^2,0)</f>
        <v>5</v>
      </c>
      <c r="E38" s="12" t="str">
        <f>IF(F38&gt;$C$41,"Data Kurang","Data Cukup")</f>
        <v>Data Cukup</v>
      </c>
      <c r="F38" s="13">
        <f>ROUNDUP((($C$39/$C$40)*SQRT($C$41*F35-E35^2)/E35)^2,0)</f>
        <v>9</v>
      </c>
      <c r="G38" s="12" t="str">
        <f>IF(H38&gt;$C$41,"Data Kurang","Data Cukup")</f>
        <v>Data Cukup</v>
      </c>
      <c r="H38" s="13">
        <f>ROUNDUP((($C$39/$C$40)*SQRT($C$41*H35-G35^2)/G35)^2,0)</f>
        <v>32</v>
      </c>
      <c r="I38" s="12" t="str">
        <f>IF(J38&gt;$C$41,"Data Kurang","Data Cukup")</f>
        <v>Data Cukup</v>
      </c>
      <c r="J38" s="13">
        <f>ROUNDUP((($C$39/$C$40)*SQRT($C$41*J35-I35^2)/I35)^2,0)</f>
        <v>10</v>
      </c>
      <c r="K38" s="12" t="str">
        <f>IF(L38&gt;$C$41,"Data Kurang","Data Cukup")</f>
        <v>Data Cukup</v>
      </c>
      <c r="L38" s="13">
        <f>ROUNDUP((($C$39/$C$40)*SQRT($C$41*L35-K35^2)/K35)^2,0)</f>
        <v>11</v>
      </c>
      <c r="M38" s="12" t="str">
        <f>IF(N38&gt;$C$41,"Data Kurang","Data Cukup")</f>
        <v>Data Cukup</v>
      </c>
      <c r="N38" s="13">
        <f>ROUNDUP((($C$39/$C$40)*SQRT($C$41*N35-M35^2)/M35)^2,0)</f>
        <v>5</v>
      </c>
      <c r="O38" s="12" t="str">
        <f>IF(P38&gt;$C$41,"Data Kurang","Data Cukup")</f>
        <v>Data Cukup</v>
      </c>
      <c r="P38" s="13">
        <f>ROUNDUP((($C$39/$C$40)*SQRT($C$41*P35-O35^2)/O35)^2,0)</f>
        <v>4</v>
      </c>
      <c r="Q38" s="12" t="str">
        <f>IF(R38&gt;$C$41,"Data Kurang","Data Cukup")</f>
        <v>Data Cukup</v>
      </c>
      <c r="R38" s="13">
        <f>ROUNDUP((($C$39/$C$40)*SQRT($C$41*R35-Q35^2)/Q35)^2,0)</f>
        <v>18</v>
      </c>
      <c r="S38" s="12" t="str">
        <f>IF(T38&gt;$C$41,"Data Kurang","Data Cukup")</f>
        <v>Data Cukup</v>
      </c>
      <c r="T38" s="13">
        <f>ROUNDUP((($C$39/$C$40)*SQRT($C$41*T35-S35^2)/S35)^2,0)</f>
        <v>6</v>
      </c>
      <c r="U38" s="12" t="str">
        <f>IF(V38&gt;$C$41,"Data Kurang","Data Cukup")</f>
        <v>Data Cukup</v>
      </c>
      <c r="V38" s="13">
        <f>ROUNDUP((($C$39/$C$40)*SQRT($C$41*V35-U35^2)/U35)^2,0)</f>
        <v>21</v>
      </c>
      <c r="W38" s="12" t="str">
        <f>IF(X38&gt;$C$41,"Data Kurang","Data Cukup")</f>
        <v>Data Cukup</v>
      </c>
      <c r="X38" s="13">
        <f>ROUNDUP((($C$39/$C$40)*SQRT($C$41*X35-W35^2)/W35)^2,0)</f>
        <v>4</v>
      </c>
      <c r="Y38" s="12"/>
      <c r="Z38" s="12"/>
    </row>
    <row r="39" spans="1:26" ht="12.75" customHeight="1" x14ac:dyDescent="0.2">
      <c r="A39" s="5" t="s">
        <v>62</v>
      </c>
      <c r="B39" s="5"/>
      <c r="C39" s="4">
        <v>2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5" t="s">
        <v>63</v>
      </c>
      <c r="B40" s="5"/>
      <c r="C40" s="4">
        <v>0.05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5" t="s">
        <v>64</v>
      </c>
      <c r="B41" s="5"/>
      <c r="C41" s="4">
        <f>COUNTA(B3:B34)</f>
        <v>32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5" t="s">
        <v>65</v>
      </c>
      <c r="B43" s="5" t="s">
        <v>66</v>
      </c>
      <c r="C43" s="4">
        <f>_xlfn.PERCENTILE.INC(C3:C34,0.5)</f>
        <v>45</v>
      </c>
      <c r="D43" s="4"/>
      <c r="E43" s="4">
        <f>_xlfn.PERCENTILE.INC(E3:E34,0.5)</f>
        <v>46.75</v>
      </c>
      <c r="F43" s="4"/>
      <c r="G43" s="4">
        <f>_xlfn.PERCENTILE.INC(G3:G34,0.5)</f>
        <v>52</v>
      </c>
      <c r="H43" s="4"/>
      <c r="I43" s="4">
        <f>_xlfn.PERCENTILE.INC(I3:I34,0.5)</f>
        <v>42</v>
      </c>
      <c r="J43" s="4"/>
      <c r="K43" s="4">
        <f>_xlfn.PERCENTILE.INC(K3:K34,0.5)</f>
        <v>57.75</v>
      </c>
      <c r="L43" s="4"/>
      <c r="M43" s="4">
        <f>_xlfn.PERCENTILE.INC(M3:M34,0.5)</f>
        <v>118.75</v>
      </c>
      <c r="N43" s="4"/>
      <c r="O43" s="4">
        <f>_xlfn.PERCENTILE.INC(O3:O34,0.5)</f>
        <v>130.75</v>
      </c>
      <c r="P43" s="4"/>
      <c r="Q43" s="4">
        <f>_xlfn.PERCENTILE.INC(Q3:Q34,0.5)</f>
        <v>16</v>
      </c>
      <c r="R43" s="4"/>
      <c r="S43" s="4">
        <f>_xlfn.PERCENTILE.INC(S3:S34,0.5)</f>
        <v>56</v>
      </c>
      <c r="T43" s="4"/>
      <c r="U43" s="4">
        <f>_xlfn.PERCENTILE.INC(U3:U34,0.5)</f>
        <v>24</v>
      </c>
      <c r="V43" s="4"/>
      <c r="W43" s="4">
        <f>_xlfn.PERCENTILE.INC(W3:W34,0.5)</f>
        <v>101</v>
      </c>
      <c r="X43" s="4"/>
      <c r="Y43" s="4"/>
      <c r="Z43" s="4"/>
    </row>
    <row r="44" spans="1:26" ht="12.75" customHeight="1" x14ac:dyDescent="0.2">
      <c r="A44" s="4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4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4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4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4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4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4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4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4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4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4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4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4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4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4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4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4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">
      <c r="A260" s="4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">
      <c r="A261" s="4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">
      <c r="A262" s="4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">
      <c r="A263" s="4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">
      <c r="A264" s="4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">
      <c r="A265" s="4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">
      <c r="A266" s="4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">
      <c r="A267" s="4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">
      <c r="A268" s="4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">
      <c r="A269" s="4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">
      <c r="A270" s="4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">
      <c r="A271" s="4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">
      <c r="A272" s="4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">
      <c r="A273" s="4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">
      <c r="A274" s="4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">
      <c r="A275" s="4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">
      <c r="A276" s="4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">
      <c r="A277" s="4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">
      <c r="A278" s="4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">
      <c r="A279" s="4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">
      <c r="A280" s="4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">
      <c r="A281" s="4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">
      <c r="A282" s="4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">
      <c r="A283" s="4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">
      <c r="A284" s="4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">
      <c r="A285" s="4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">
      <c r="A286" s="4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">
      <c r="A287" s="4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">
      <c r="A288" s="4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">
      <c r="A289" s="4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">
      <c r="A290" s="4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">
      <c r="A291" s="4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">
      <c r="A292" s="4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">
      <c r="A293" s="4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">
      <c r="A294" s="4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">
      <c r="A295" s="4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">
      <c r="A296" s="4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">
      <c r="A297" s="4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">
      <c r="A298" s="4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">
      <c r="A299" s="4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">
      <c r="A300" s="4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">
      <c r="A301" s="4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">
      <c r="A302" s="4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">
      <c r="A303" s="4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">
      <c r="A304" s="4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">
      <c r="A305" s="4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">
      <c r="A306" s="4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">
      <c r="A307" s="4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">
      <c r="A308" s="4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">
      <c r="A309" s="4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">
      <c r="A310" s="4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">
      <c r="A311" s="4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">
      <c r="A312" s="4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">
      <c r="A313" s="4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">
      <c r="A314" s="4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">
      <c r="A315" s="4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">
      <c r="A316" s="4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">
      <c r="A317" s="4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">
      <c r="A318" s="4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">
      <c r="A319" s="4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">
      <c r="A320" s="4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">
      <c r="A321" s="4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">
      <c r="A322" s="4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">
      <c r="A323" s="4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">
      <c r="A324" s="4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">
      <c r="A325" s="4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">
      <c r="A326" s="4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">
      <c r="A327" s="4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">
      <c r="A328" s="4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">
      <c r="A329" s="4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">
      <c r="A330" s="4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">
      <c r="A331" s="4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">
      <c r="A332" s="4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">
      <c r="A333" s="4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">
      <c r="A334" s="4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4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>
      <c r="A336" s="4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">
      <c r="A337" s="4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">
      <c r="A338" s="4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">
      <c r="A339" s="4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">
      <c r="A340" s="4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">
      <c r="A341" s="4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">
      <c r="A342" s="4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">
      <c r="A343" s="4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">
      <c r="A344" s="4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">
      <c r="A345" s="4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">
      <c r="A346" s="4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">
      <c r="A347" s="4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">
      <c r="A348" s="4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">
      <c r="A349" s="4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">
      <c r="A350" s="4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">
      <c r="A351" s="4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">
      <c r="A352" s="4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">
      <c r="A353" s="4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">
      <c r="A354" s="4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">
      <c r="A355" s="4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">
      <c r="A356" s="4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">
      <c r="A357" s="4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">
      <c r="A358" s="4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">
      <c r="A359" s="4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">
      <c r="A360" s="4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">
      <c r="A361" s="4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">
      <c r="A362" s="4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">
      <c r="A363" s="4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">
      <c r="A364" s="4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">
      <c r="A365" s="4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">
      <c r="A366" s="4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">
      <c r="A367" s="4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">
      <c r="A368" s="4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">
      <c r="A369" s="4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">
      <c r="A370" s="4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">
      <c r="A371" s="4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">
      <c r="A372" s="4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">
      <c r="A373" s="4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">
      <c r="A374" s="4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">
      <c r="A375" s="4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">
      <c r="A376" s="4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">
      <c r="A377" s="4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">
      <c r="A378" s="4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">
      <c r="A379" s="4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">
      <c r="A380" s="4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">
      <c r="A381" s="4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">
      <c r="A382" s="4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">
      <c r="A383" s="4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">
      <c r="A384" s="4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">
      <c r="A385" s="4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">
      <c r="A386" s="4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">
      <c r="A387" s="4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">
      <c r="A388" s="4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">
      <c r="A389" s="4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">
      <c r="A390" s="4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">
      <c r="A391" s="4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">
      <c r="A392" s="4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">
      <c r="A393" s="4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">
      <c r="A394" s="4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">
      <c r="A395" s="4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">
      <c r="A396" s="4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">
      <c r="A397" s="4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">
      <c r="A398" s="4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">
      <c r="A399" s="4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">
      <c r="A400" s="4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">
      <c r="A401" s="4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">
      <c r="A402" s="4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">
      <c r="A403" s="4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">
      <c r="A404" s="4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">
      <c r="A405" s="4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">
      <c r="A406" s="4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">
      <c r="A407" s="4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">
      <c r="A408" s="4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">
      <c r="A409" s="4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">
      <c r="A410" s="4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">
      <c r="A411" s="4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">
      <c r="A412" s="4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">
      <c r="A413" s="4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">
      <c r="A414" s="4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">
      <c r="A415" s="4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">
      <c r="A416" s="4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">
      <c r="A417" s="4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">
      <c r="A418" s="4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">
      <c r="A419" s="4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">
      <c r="A420" s="4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">
      <c r="A421" s="4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">
      <c r="A422" s="4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">
      <c r="A423" s="4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">
      <c r="A424" s="4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">
      <c r="A425" s="4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">
      <c r="A426" s="4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">
      <c r="A427" s="4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">
      <c r="A428" s="4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">
      <c r="A429" s="4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">
      <c r="A430" s="4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">
      <c r="A431" s="4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">
      <c r="A432" s="4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">
      <c r="A433" s="4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">
      <c r="A434" s="4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">
      <c r="A435" s="4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">
      <c r="A436" s="4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">
      <c r="A437" s="4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">
      <c r="A438" s="4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">
      <c r="A439" s="4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">
      <c r="A440" s="4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">
      <c r="A441" s="4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">
      <c r="A442" s="4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">
      <c r="A443" s="4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">
      <c r="A444" s="4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">
      <c r="A445" s="4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">
      <c r="A446" s="4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">
      <c r="A447" s="4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">
      <c r="A448" s="4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">
      <c r="A449" s="4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">
      <c r="A450" s="4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">
      <c r="A451" s="4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">
      <c r="A452" s="4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">
      <c r="A453" s="4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">
      <c r="A454" s="4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">
      <c r="A455" s="4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">
      <c r="A456" s="4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">
      <c r="A457" s="4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">
      <c r="A458" s="4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">
      <c r="A459" s="4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">
      <c r="A460" s="4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">
      <c r="A461" s="4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">
      <c r="A462" s="4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">
      <c r="A463" s="4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">
      <c r="A464" s="4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">
      <c r="A465" s="4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">
      <c r="A466" s="4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">
      <c r="A467" s="4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">
      <c r="A468" s="4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">
      <c r="A469" s="4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">
      <c r="A470" s="4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">
      <c r="A471" s="4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">
      <c r="A472" s="4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">
      <c r="A473" s="4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">
      <c r="A474" s="4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">
      <c r="A475" s="4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">
      <c r="A476" s="4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">
      <c r="A477" s="4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">
      <c r="A478" s="4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">
      <c r="A479" s="4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">
      <c r="A480" s="4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">
      <c r="A481" s="4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">
      <c r="A482" s="4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">
      <c r="A483" s="4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">
      <c r="A484" s="4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">
      <c r="A485" s="4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">
      <c r="A486" s="4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">
      <c r="A487" s="4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">
      <c r="A488" s="4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">
      <c r="A489" s="4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">
      <c r="A490" s="4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">
      <c r="A491" s="4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">
      <c r="A492" s="4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">
      <c r="A493" s="4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">
      <c r="A494" s="4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">
      <c r="A495" s="4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">
      <c r="A496" s="4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">
      <c r="A497" s="4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">
      <c r="A498" s="4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">
      <c r="A499" s="4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">
      <c r="A500" s="4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">
      <c r="A501" s="4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">
      <c r="A502" s="4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">
      <c r="A503" s="4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">
      <c r="A504" s="4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">
      <c r="A505" s="4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">
      <c r="A506" s="4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">
      <c r="A507" s="4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">
      <c r="A508" s="4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">
      <c r="A509" s="4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">
      <c r="A510" s="4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">
      <c r="A511" s="4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">
      <c r="A512" s="4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">
      <c r="A513" s="4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">
      <c r="A514" s="4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">
      <c r="A515" s="4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">
      <c r="A516" s="4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">
      <c r="A517" s="4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">
      <c r="A518" s="4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">
      <c r="A519" s="4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">
      <c r="A520" s="4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">
      <c r="A521" s="4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">
      <c r="A522" s="4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">
      <c r="A523" s="4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">
      <c r="A524" s="4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">
      <c r="A525" s="4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">
      <c r="A526" s="4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">
      <c r="A527" s="4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">
      <c r="A528" s="4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">
      <c r="A529" s="4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">
      <c r="A530" s="4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">
      <c r="A531" s="4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">
      <c r="A532" s="4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">
      <c r="A533" s="4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">
      <c r="A534" s="4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">
      <c r="A535" s="4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">
      <c r="A536" s="4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">
      <c r="A537" s="4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">
      <c r="A538" s="4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">
      <c r="A539" s="4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">
      <c r="A540" s="4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">
      <c r="A541" s="4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">
      <c r="A542" s="4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">
      <c r="A543" s="4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">
      <c r="A544" s="4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">
      <c r="A545" s="4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">
      <c r="A546" s="4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">
      <c r="A547" s="4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">
      <c r="A548" s="4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">
      <c r="A549" s="4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">
      <c r="A550" s="4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">
      <c r="A551" s="4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">
      <c r="A552" s="4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">
      <c r="A553" s="4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">
      <c r="A554" s="4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">
      <c r="A555" s="4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">
      <c r="A556" s="4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">
      <c r="A557" s="4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">
      <c r="A558" s="4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">
      <c r="A559" s="4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">
      <c r="A560" s="4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">
      <c r="A561" s="4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">
      <c r="A562" s="4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">
      <c r="A563" s="4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">
      <c r="A564" s="4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">
      <c r="A565" s="4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">
      <c r="A566" s="4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">
      <c r="A567" s="4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">
      <c r="A568" s="4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">
      <c r="A569" s="4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">
      <c r="A570" s="4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">
      <c r="A571" s="4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">
      <c r="A572" s="4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">
      <c r="A573" s="4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">
      <c r="A574" s="4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">
      <c r="A575" s="4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">
      <c r="A576" s="4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">
      <c r="A577" s="4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">
      <c r="A578" s="4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">
      <c r="A579" s="4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">
      <c r="A580" s="4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">
      <c r="A581" s="4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">
      <c r="A582" s="4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">
      <c r="A583" s="4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">
      <c r="A584" s="4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">
      <c r="A585" s="4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">
      <c r="A586" s="4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">
      <c r="A587" s="4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">
      <c r="A588" s="4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">
      <c r="A589" s="4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">
      <c r="A590" s="4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">
      <c r="A591" s="4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">
      <c r="A592" s="4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">
      <c r="A593" s="4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">
      <c r="A594" s="4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">
      <c r="A595" s="4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">
      <c r="A596" s="4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">
      <c r="A597" s="4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">
      <c r="A598" s="4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">
      <c r="A599" s="4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">
      <c r="A600" s="4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">
      <c r="A601" s="4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">
      <c r="A602" s="4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">
      <c r="A603" s="4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">
      <c r="A604" s="4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">
      <c r="A605" s="4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">
      <c r="A606" s="4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">
      <c r="A607" s="4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">
      <c r="A608" s="4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">
      <c r="A609" s="4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">
      <c r="A610" s="4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">
      <c r="A611" s="4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">
      <c r="A612" s="4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">
      <c r="A613" s="4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">
      <c r="A614" s="4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">
      <c r="A615" s="4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">
      <c r="A616" s="4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">
      <c r="A617" s="4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">
      <c r="A618" s="4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">
      <c r="A619" s="4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">
      <c r="A620" s="4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">
      <c r="A621" s="4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">
      <c r="A622" s="4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">
      <c r="A623" s="4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">
      <c r="A624" s="4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">
      <c r="A625" s="4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">
      <c r="A626" s="4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">
      <c r="A627" s="4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">
      <c r="A628" s="4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">
      <c r="A629" s="4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">
      <c r="A630" s="4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">
      <c r="A631" s="4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">
      <c r="A632" s="4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">
      <c r="A633" s="4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">
      <c r="A634" s="4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">
      <c r="A635" s="4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">
      <c r="A636" s="4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">
      <c r="A637" s="4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">
      <c r="A638" s="4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">
      <c r="A639" s="4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">
      <c r="A640" s="4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">
      <c r="A641" s="4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">
      <c r="A642" s="4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">
      <c r="A643" s="4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">
      <c r="A644" s="4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">
      <c r="A645" s="4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">
      <c r="A646" s="4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">
      <c r="A647" s="4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">
      <c r="A648" s="4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">
      <c r="A649" s="4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">
      <c r="A650" s="4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">
      <c r="A651" s="4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">
      <c r="A652" s="4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">
      <c r="A653" s="4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">
      <c r="A654" s="4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">
      <c r="A655" s="4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">
      <c r="A656" s="4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">
      <c r="A657" s="4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">
      <c r="A658" s="4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">
      <c r="A659" s="4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">
      <c r="A660" s="4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">
      <c r="A661" s="4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">
      <c r="A662" s="4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">
      <c r="A663" s="4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">
      <c r="A664" s="4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">
      <c r="A665" s="4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">
      <c r="A666" s="4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">
      <c r="A667" s="4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">
      <c r="A668" s="4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">
      <c r="A669" s="4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">
      <c r="A670" s="4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">
      <c r="A671" s="4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">
      <c r="A672" s="4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">
      <c r="A673" s="4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">
      <c r="A674" s="4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">
      <c r="A675" s="4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">
      <c r="A676" s="4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">
      <c r="A677" s="4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">
      <c r="A678" s="4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">
      <c r="A679" s="4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">
      <c r="A680" s="4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">
      <c r="A681" s="4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">
      <c r="A682" s="4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">
      <c r="A683" s="4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">
      <c r="A684" s="4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">
      <c r="A685" s="4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">
      <c r="A686" s="4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">
      <c r="A687" s="4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">
      <c r="A688" s="4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">
      <c r="A689" s="4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">
      <c r="A690" s="4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">
      <c r="A691" s="4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">
      <c r="A692" s="4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">
      <c r="A693" s="4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">
      <c r="A694" s="4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">
      <c r="A695" s="4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">
      <c r="A696" s="4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">
      <c r="A697" s="4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">
      <c r="A698" s="4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">
      <c r="A699" s="4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">
      <c r="A700" s="4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">
      <c r="A701" s="4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">
      <c r="A702" s="4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">
      <c r="A703" s="4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">
      <c r="A704" s="4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">
      <c r="A705" s="4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">
      <c r="A706" s="4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">
      <c r="A707" s="4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">
      <c r="A708" s="4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">
      <c r="A709" s="4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">
      <c r="A710" s="4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">
      <c r="A711" s="4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">
      <c r="A712" s="4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">
      <c r="A713" s="4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">
      <c r="A714" s="4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">
      <c r="A715" s="4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">
      <c r="A716" s="4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">
      <c r="A717" s="4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">
      <c r="A718" s="4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">
      <c r="A719" s="4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">
      <c r="A720" s="4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">
      <c r="A721" s="4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">
      <c r="A722" s="4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">
      <c r="A723" s="4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">
      <c r="A724" s="4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">
      <c r="A725" s="4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">
      <c r="A726" s="4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">
      <c r="A727" s="4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">
      <c r="A728" s="4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">
      <c r="A729" s="4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">
      <c r="A730" s="4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">
      <c r="A731" s="4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">
      <c r="A732" s="4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">
      <c r="A733" s="4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">
      <c r="A734" s="4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">
      <c r="A735" s="4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">
      <c r="A736" s="4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">
      <c r="A737" s="4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">
      <c r="A738" s="4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">
      <c r="A739" s="4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">
      <c r="A740" s="4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">
      <c r="A741" s="4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">
      <c r="A742" s="4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">
      <c r="A743" s="4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">
      <c r="A744" s="4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">
      <c r="A745" s="4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">
      <c r="A746" s="4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">
      <c r="A747" s="4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">
      <c r="A748" s="4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">
      <c r="A749" s="4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">
      <c r="A750" s="4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">
      <c r="A751" s="4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">
      <c r="A752" s="4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">
      <c r="A753" s="4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">
      <c r="A754" s="4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">
      <c r="A755" s="4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">
      <c r="A756" s="4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">
      <c r="A757" s="4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">
      <c r="A758" s="4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">
      <c r="A759" s="4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">
      <c r="A760" s="4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">
      <c r="A761" s="4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">
      <c r="A762" s="4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">
      <c r="A763" s="4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">
      <c r="A764" s="4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">
      <c r="A765" s="4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">
      <c r="A766" s="4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">
      <c r="A767" s="4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">
      <c r="A768" s="4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">
      <c r="A769" s="4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">
      <c r="A770" s="4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">
      <c r="A771" s="4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">
      <c r="A772" s="4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">
      <c r="A773" s="4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">
      <c r="A774" s="4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">
      <c r="A775" s="4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">
      <c r="A776" s="4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">
      <c r="A777" s="4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">
      <c r="A778" s="4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">
      <c r="A779" s="4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">
      <c r="A780" s="4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">
      <c r="A781" s="4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">
      <c r="A782" s="4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">
      <c r="A783" s="4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">
      <c r="A784" s="4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">
      <c r="A785" s="4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">
      <c r="A786" s="4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">
      <c r="A787" s="4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">
      <c r="A788" s="4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">
      <c r="A789" s="4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">
      <c r="A790" s="4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">
      <c r="A791" s="4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">
      <c r="A792" s="4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">
      <c r="A793" s="4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">
      <c r="A794" s="4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">
      <c r="A795" s="4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">
      <c r="A796" s="4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">
      <c r="A797" s="4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">
      <c r="A798" s="4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">
      <c r="A799" s="4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">
      <c r="A800" s="4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">
      <c r="A801" s="4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">
      <c r="A802" s="4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">
      <c r="A803" s="4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">
      <c r="A804" s="4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">
      <c r="A805" s="4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">
      <c r="A806" s="4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">
      <c r="A807" s="4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">
      <c r="A808" s="4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">
      <c r="A809" s="4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">
      <c r="A810" s="4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">
      <c r="A811" s="4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">
      <c r="A812" s="4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">
      <c r="A813" s="4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">
      <c r="A814" s="4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">
      <c r="A815" s="4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">
      <c r="A816" s="4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">
      <c r="A817" s="4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">
      <c r="A818" s="4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">
      <c r="A819" s="4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">
      <c r="A820" s="4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">
      <c r="A821" s="4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">
      <c r="A822" s="4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">
      <c r="A823" s="4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">
      <c r="A824" s="4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">
      <c r="A825" s="4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">
      <c r="A826" s="4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">
      <c r="A827" s="4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">
      <c r="A828" s="4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">
      <c r="A829" s="4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">
      <c r="A830" s="4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">
      <c r="A831" s="4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">
      <c r="A832" s="4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">
      <c r="A833" s="4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">
      <c r="A834" s="4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">
      <c r="A835" s="4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">
      <c r="A836" s="4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">
      <c r="A837" s="4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">
      <c r="A838" s="4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">
      <c r="A839" s="4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">
      <c r="A840" s="4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">
      <c r="A841" s="4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">
      <c r="A842" s="4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">
      <c r="A843" s="4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">
      <c r="A844" s="4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">
      <c r="A845" s="4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">
      <c r="A846" s="4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">
      <c r="A847" s="4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">
      <c r="A848" s="4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">
      <c r="A849" s="4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">
      <c r="A850" s="4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">
      <c r="A851" s="4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">
      <c r="A852" s="4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">
      <c r="A853" s="4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">
      <c r="A854" s="4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">
      <c r="A855" s="4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">
      <c r="A856" s="4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">
      <c r="A857" s="4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">
      <c r="A858" s="4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">
      <c r="A859" s="4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">
      <c r="A860" s="4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">
      <c r="A861" s="4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">
      <c r="A862" s="4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">
      <c r="A863" s="4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">
      <c r="A864" s="4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">
      <c r="A865" s="4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">
      <c r="A866" s="4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">
      <c r="A867" s="4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">
      <c r="A868" s="4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">
      <c r="A869" s="4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">
      <c r="A870" s="4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">
      <c r="A871" s="4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">
      <c r="A872" s="4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">
      <c r="A873" s="4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">
      <c r="A874" s="4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">
      <c r="A875" s="4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">
      <c r="A876" s="4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">
      <c r="A877" s="4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">
      <c r="A878" s="4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">
      <c r="A879" s="4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">
      <c r="A880" s="4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">
      <c r="A881" s="4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">
      <c r="A882" s="4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">
      <c r="A883" s="4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">
      <c r="A884" s="4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">
      <c r="A885" s="4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">
      <c r="A886" s="4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">
      <c r="A887" s="4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">
      <c r="A888" s="4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">
      <c r="A889" s="4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">
      <c r="A890" s="4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">
      <c r="A891" s="4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">
      <c r="A892" s="4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">
      <c r="A893" s="4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">
      <c r="A894" s="4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">
      <c r="A895" s="4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">
      <c r="A896" s="4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">
      <c r="A897" s="4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">
      <c r="A898" s="4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">
      <c r="A899" s="4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">
      <c r="A900" s="4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">
      <c r="A901" s="4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">
      <c r="A902" s="4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">
      <c r="A903" s="4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">
      <c r="A904" s="4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">
      <c r="A905" s="4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">
      <c r="A906" s="4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">
      <c r="A907" s="4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">
      <c r="A908" s="4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">
      <c r="A909" s="4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">
      <c r="A910" s="4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">
      <c r="A911" s="4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">
      <c r="A912" s="4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">
      <c r="A913" s="4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">
      <c r="A914" s="4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">
      <c r="A915" s="4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">
      <c r="A916" s="4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">
      <c r="A917" s="4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">
      <c r="A918" s="4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">
      <c r="A919" s="4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">
      <c r="A920" s="4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">
      <c r="A921" s="4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">
      <c r="A922" s="4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">
      <c r="A923" s="4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">
      <c r="A924" s="4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">
      <c r="A925" s="4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">
      <c r="A926" s="4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">
      <c r="A927" s="4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">
      <c r="A928" s="4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">
      <c r="A929" s="4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">
      <c r="A930" s="4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">
      <c r="A931" s="4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">
      <c r="A932" s="4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">
      <c r="A933" s="4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">
      <c r="A934" s="4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">
      <c r="A935" s="4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">
      <c r="A936" s="4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">
      <c r="A937" s="4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">
      <c r="A938" s="4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">
      <c r="A939" s="4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">
      <c r="A940" s="4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">
      <c r="A941" s="4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">
      <c r="A942" s="4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">
      <c r="A943" s="4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">
      <c r="A944" s="4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">
      <c r="A945" s="4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">
      <c r="A946" s="4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">
      <c r="A947" s="4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">
      <c r="A948" s="4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">
      <c r="A949" s="4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">
      <c r="A950" s="4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">
      <c r="A951" s="4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">
      <c r="A952" s="4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">
      <c r="A953" s="4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">
      <c r="A954" s="4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">
      <c r="A955" s="4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">
      <c r="A956" s="4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">
      <c r="A957" s="4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">
      <c r="A958" s="4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">
      <c r="A959" s="4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">
      <c r="A960" s="4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">
      <c r="A961" s="4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">
      <c r="A962" s="4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">
      <c r="A963" s="4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">
      <c r="A964" s="4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">
      <c r="A965" s="4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">
      <c r="A966" s="4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">
      <c r="A967" s="4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">
      <c r="A968" s="4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">
      <c r="A969" s="4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">
      <c r="A970" s="4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">
      <c r="A971" s="4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">
      <c r="A972" s="4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">
      <c r="A973" s="4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">
      <c r="A974" s="4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">
      <c r="A975" s="4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">
      <c r="A976" s="4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">
      <c r="A977" s="4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">
      <c r="A978" s="4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">
      <c r="A979" s="4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">
      <c r="A980" s="4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">
      <c r="A981" s="4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">
      <c r="A982" s="4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">
      <c r="A983" s="4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">
      <c r="A984" s="4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">
      <c r="A985" s="4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">
      <c r="A986" s="4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">
      <c r="A987" s="4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">
      <c r="A988" s="4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">
      <c r="A989" s="4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">
      <c r="A990" s="4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">
      <c r="A991" s="4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">
      <c r="A992" s="4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">
      <c r="A993" s="4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">
      <c r="A994" s="4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">
      <c r="A995" s="4"/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">
      <c r="A996" s="4"/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">
      <c r="A997" s="4"/>
      <c r="B997" s="5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">
      <c r="A998" s="4"/>
      <c r="B998" s="5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">
      <c r="A999" s="4"/>
      <c r="B999" s="5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">
      <c r="A1000" s="4"/>
      <c r="B1000" s="5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5703125" defaultRowHeight="15" customHeight="1" x14ac:dyDescent="0.2"/>
  <cols>
    <col min="1" max="1" width="7.7109375" customWidth="1"/>
    <col min="2" max="2" width="8.5703125" hidden="1" customWidth="1"/>
    <col min="3" max="13" width="7.7109375" customWidth="1"/>
    <col min="14" max="26" width="8.5703125" customWidth="1"/>
  </cols>
  <sheetData>
    <row r="1" spans="1:26" ht="12" customHeight="1" x14ac:dyDescent="0.2">
      <c r="A1" s="14"/>
      <c r="B1" s="15"/>
      <c r="C1" s="16" t="s">
        <v>33</v>
      </c>
      <c r="D1" s="16" t="s">
        <v>35</v>
      </c>
      <c r="E1" s="16" t="s">
        <v>37</v>
      </c>
      <c r="F1" s="16" t="s">
        <v>39</v>
      </c>
      <c r="G1" s="16" t="s">
        <v>41</v>
      </c>
      <c r="H1" s="16" t="s">
        <v>43</v>
      </c>
      <c r="I1" s="16" t="s">
        <v>45</v>
      </c>
      <c r="J1" s="16" t="s">
        <v>47</v>
      </c>
      <c r="K1" s="16" t="s">
        <v>49</v>
      </c>
      <c r="L1" s="16" t="s">
        <v>51</v>
      </c>
      <c r="M1" s="16" t="s">
        <v>53</v>
      </c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2" customHeight="1" x14ac:dyDescent="0.2">
      <c r="A2" s="18" t="s">
        <v>55</v>
      </c>
      <c r="B2" s="15" t="s">
        <v>56</v>
      </c>
      <c r="C2" s="19" t="s">
        <v>34</v>
      </c>
      <c r="D2" s="19" t="s">
        <v>36</v>
      </c>
      <c r="E2" s="19" t="s">
        <v>38</v>
      </c>
      <c r="F2" s="19" t="s">
        <v>40</v>
      </c>
      <c r="G2" s="19" t="s">
        <v>42</v>
      </c>
      <c r="H2" s="19" t="s">
        <v>44</v>
      </c>
      <c r="I2" s="19" t="s">
        <v>46</v>
      </c>
      <c r="J2" s="19" t="s">
        <v>48</v>
      </c>
      <c r="K2" s="19" t="s">
        <v>50</v>
      </c>
      <c r="L2" s="19" t="s">
        <v>52</v>
      </c>
      <c r="M2" s="19" t="s">
        <v>54</v>
      </c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" customHeight="1" x14ac:dyDescent="0.2">
      <c r="A3" s="18">
        <v>1</v>
      </c>
      <c r="B3" s="20" t="s">
        <v>1</v>
      </c>
      <c r="C3" s="16">
        <v>46</v>
      </c>
      <c r="D3" s="16">
        <v>46</v>
      </c>
      <c r="E3" s="16">
        <v>57</v>
      </c>
      <c r="F3" s="16">
        <v>42</v>
      </c>
      <c r="G3" s="16">
        <v>64</v>
      </c>
      <c r="H3" s="16">
        <v>123.5</v>
      </c>
      <c r="I3" s="16">
        <v>135.5</v>
      </c>
      <c r="J3" s="16">
        <v>17</v>
      </c>
      <c r="K3" s="16">
        <v>58</v>
      </c>
      <c r="L3" s="16">
        <v>27</v>
      </c>
      <c r="M3" s="16">
        <v>102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" customHeight="1" x14ac:dyDescent="0.2">
      <c r="A4" s="18">
        <v>2</v>
      </c>
      <c r="B4" s="20" t="s">
        <v>2</v>
      </c>
      <c r="C4" s="16">
        <v>45</v>
      </c>
      <c r="D4" s="16">
        <v>46</v>
      </c>
      <c r="E4" s="16">
        <v>56</v>
      </c>
      <c r="F4" s="16">
        <v>40</v>
      </c>
      <c r="G4" s="16">
        <v>67</v>
      </c>
      <c r="H4" s="16">
        <v>125</v>
      </c>
      <c r="I4" s="16">
        <v>135</v>
      </c>
      <c r="J4" s="16">
        <v>15</v>
      </c>
      <c r="K4" s="16">
        <v>53.5</v>
      </c>
      <c r="L4" s="16">
        <v>30</v>
      </c>
      <c r="M4" s="16">
        <v>102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" customHeight="1" x14ac:dyDescent="0.2">
      <c r="A5" s="18">
        <v>3</v>
      </c>
      <c r="B5" s="20" t="s">
        <v>3</v>
      </c>
      <c r="C5" s="16">
        <v>43</v>
      </c>
      <c r="D5" s="16">
        <v>41.5</v>
      </c>
      <c r="E5" s="16">
        <v>48</v>
      </c>
      <c r="F5" s="16">
        <v>39</v>
      </c>
      <c r="G5" s="16">
        <v>55</v>
      </c>
      <c r="H5" s="16">
        <f>43+71</f>
        <v>114</v>
      </c>
      <c r="I5" s="16">
        <f>43+81</f>
        <v>124</v>
      </c>
      <c r="J5" s="16">
        <v>18</v>
      </c>
      <c r="K5" s="16">
        <v>51</v>
      </c>
      <c r="L5" s="16">
        <v>19</v>
      </c>
      <c r="M5" s="16">
        <v>107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" customHeight="1" x14ac:dyDescent="0.2">
      <c r="A6" s="18">
        <v>4</v>
      </c>
      <c r="B6" s="20" t="s">
        <v>4</v>
      </c>
      <c r="C6" s="16">
        <v>44</v>
      </c>
      <c r="D6" s="16">
        <v>46.5</v>
      </c>
      <c r="E6" s="16">
        <v>47</v>
      </c>
      <c r="F6" s="16">
        <v>42</v>
      </c>
      <c r="G6" s="16">
        <v>54.5</v>
      </c>
      <c r="H6" s="16">
        <f>43+69</f>
        <v>112</v>
      </c>
      <c r="I6" s="16">
        <f>43+78</f>
        <v>121</v>
      </c>
      <c r="J6" s="16">
        <v>15</v>
      </c>
      <c r="K6" s="16">
        <v>54</v>
      </c>
      <c r="L6" s="16">
        <v>21</v>
      </c>
      <c r="M6" s="16">
        <v>107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" customHeight="1" x14ac:dyDescent="0.2">
      <c r="A7" s="18">
        <v>5</v>
      </c>
      <c r="B7" s="20" t="s">
        <v>5</v>
      </c>
      <c r="C7" s="16">
        <v>42.5</v>
      </c>
      <c r="D7" s="16">
        <v>48</v>
      </c>
      <c r="E7" s="16">
        <v>54</v>
      </c>
      <c r="F7" s="16">
        <v>43</v>
      </c>
      <c r="G7" s="16">
        <v>57</v>
      </c>
      <c r="H7" s="16">
        <f>43+72</f>
        <v>115</v>
      </c>
      <c r="I7" s="16">
        <f>43+83</f>
        <v>126</v>
      </c>
      <c r="J7" s="16">
        <v>18.5</v>
      </c>
      <c r="K7" s="16">
        <v>56.5</v>
      </c>
      <c r="L7" s="16">
        <v>23</v>
      </c>
      <c r="M7" s="16">
        <v>107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" customHeight="1" x14ac:dyDescent="0.2">
      <c r="A8" s="18">
        <v>6</v>
      </c>
      <c r="B8" s="20" t="s">
        <v>6</v>
      </c>
      <c r="C8" s="16">
        <v>49</v>
      </c>
      <c r="D8" s="16">
        <v>50</v>
      </c>
      <c r="E8" s="16">
        <v>64</v>
      </c>
      <c r="F8" s="16">
        <v>42</v>
      </c>
      <c r="G8" s="16">
        <v>68</v>
      </c>
      <c r="H8" s="16">
        <f>46+79</f>
        <v>125</v>
      </c>
      <c r="I8" s="16">
        <f>46+91.5</f>
        <v>137.5</v>
      </c>
      <c r="J8" s="16">
        <v>15</v>
      </c>
      <c r="K8" s="16">
        <v>62</v>
      </c>
      <c r="L8" s="16">
        <v>20</v>
      </c>
      <c r="M8" s="16">
        <v>107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" customHeight="1" x14ac:dyDescent="0.2">
      <c r="A9" s="18">
        <v>7</v>
      </c>
      <c r="B9" s="20" t="s">
        <v>7</v>
      </c>
      <c r="C9" s="16">
        <v>45.5</v>
      </c>
      <c r="D9" s="16">
        <v>47</v>
      </c>
      <c r="E9" s="16">
        <v>52.5</v>
      </c>
      <c r="F9" s="16">
        <v>46</v>
      </c>
      <c r="G9" s="16">
        <v>64</v>
      </c>
      <c r="H9" s="16">
        <f>76.5+46</f>
        <v>122.5</v>
      </c>
      <c r="I9" s="16">
        <f>89+46</f>
        <v>135</v>
      </c>
      <c r="J9" s="16">
        <v>19</v>
      </c>
      <c r="K9" s="16">
        <v>59</v>
      </c>
      <c r="L9" s="16">
        <v>24</v>
      </c>
      <c r="M9" s="16">
        <v>112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" customHeight="1" x14ac:dyDescent="0.2">
      <c r="A10" s="18">
        <v>8</v>
      </c>
      <c r="B10" s="20" t="s">
        <v>8</v>
      </c>
      <c r="C10" s="16">
        <v>45</v>
      </c>
      <c r="D10" s="16">
        <v>42</v>
      </c>
      <c r="E10" s="16">
        <v>53</v>
      </c>
      <c r="F10" s="16">
        <v>41</v>
      </c>
      <c r="G10" s="16">
        <v>63</v>
      </c>
      <c r="H10" s="16">
        <f>77+46</f>
        <v>123</v>
      </c>
      <c r="I10" s="16">
        <f t="shared" ref="I10:I11" si="0">88+46</f>
        <v>134</v>
      </c>
      <c r="J10" s="16">
        <v>18</v>
      </c>
      <c r="K10" s="16">
        <v>53</v>
      </c>
      <c r="L10" s="16">
        <v>24</v>
      </c>
      <c r="M10" s="16">
        <v>112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" customHeight="1" x14ac:dyDescent="0.2">
      <c r="A11" s="18">
        <v>9</v>
      </c>
      <c r="B11" s="20" t="s">
        <v>9</v>
      </c>
      <c r="C11" s="16">
        <v>49</v>
      </c>
      <c r="D11" s="16">
        <v>44</v>
      </c>
      <c r="E11" s="16">
        <v>55</v>
      </c>
      <c r="F11" s="16">
        <v>43</v>
      </c>
      <c r="G11" s="16">
        <v>62</v>
      </c>
      <c r="H11" s="16">
        <f>75+46</f>
        <v>121</v>
      </c>
      <c r="I11" s="16">
        <f t="shared" si="0"/>
        <v>134</v>
      </c>
      <c r="J11" s="16">
        <v>18</v>
      </c>
      <c r="K11" s="16">
        <v>56</v>
      </c>
      <c r="L11" s="16">
        <v>26</v>
      </c>
      <c r="M11" s="16">
        <v>112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" customHeight="1" x14ac:dyDescent="0.2">
      <c r="A12" s="18">
        <v>10</v>
      </c>
      <c r="B12" s="20" t="s">
        <v>10</v>
      </c>
      <c r="C12" s="16">
        <v>46</v>
      </c>
      <c r="D12" s="16">
        <v>49</v>
      </c>
      <c r="E12" s="16">
        <v>43</v>
      </c>
      <c r="F12" s="16">
        <v>49</v>
      </c>
      <c r="G12" s="16">
        <v>63</v>
      </c>
      <c r="H12" s="16">
        <f>46+77</f>
        <v>123</v>
      </c>
      <c r="I12" s="16">
        <f>46+86</f>
        <v>132</v>
      </c>
      <c r="J12" s="16">
        <v>18.5</v>
      </c>
      <c r="K12" s="16">
        <v>60</v>
      </c>
      <c r="L12" s="16">
        <v>20</v>
      </c>
      <c r="M12" s="16">
        <v>98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" customHeight="1" x14ac:dyDescent="0.2">
      <c r="A13" s="18">
        <v>11</v>
      </c>
      <c r="B13" s="20" t="s">
        <v>11</v>
      </c>
      <c r="C13" s="16">
        <v>44</v>
      </c>
      <c r="D13" s="16">
        <v>44</v>
      </c>
      <c r="E13" s="16">
        <v>52</v>
      </c>
      <c r="F13" s="16">
        <v>43</v>
      </c>
      <c r="G13" s="16">
        <v>61</v>
      </c>
      <c r="H13" s="16">
        <f>46+74</f>
        <v>120</v>
      </c>
      <c r="I13" s="16">
        <f>87+46</f>
        <v>133</v>
      </c>
      <c r="J13" s="16">
        <v>16</v>
      </c>
      <c r="K13" s="16">
        <v>55</v>
      </c>
      <c r="L13" s="16">
        <v>24</v>
      </c>
      <c r="M13" s="16">
        <v>112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" customHeight="1" x14ac:dyDescent="0.2">
      <c r="A14" s="18">
        <v>12</v>
      </c>
      <c r="B14" s="20" t="s">
        <v>12</v>
      </c>
      <c r="C14" s="16">
        <v>46</v>
      </c>
      <c r="D14" s="16">
        <v>45</v>
      </c>
      <c r="E14" s="16">
        <v>44</v>
      </c>
      <c r="F14" s="16">
        <v>41</v>
      </c>
      <c r="G14" s="16">
        <v>57</v>
      </c>
      <c r="H14" s="16">
        <f>74.5+46</f>
        <v>120.5</v>
      </c>
      <c r="I14" s="16">
        <f>88+46</f>
        <v>134</v>
      </c>
      <c r="J14" s="16">
        <v>14.5</v>
      </c>
      <c r="K14" s="16">
        <v>56</v>
      </c>
      <c r="L14" s="16">
        <v>20</v>
      </c>
      <c r="M14" s="16">
        <v>101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" customHeight="1" x14ac:dyDescent="0.2">
      <c r="A15" s="18">
        <v>13</v>
      </c>
      <c r="B15" s="20" t="s">
        <v>13</v>
      </c>
      <c r="C15" s="16">
        <v>43</v>
      </c>
      <c r="D15" s="16">
        <v>42</v>
      </c>
      <c r="E15" s="16">
        <v>52</v>
      </c>
      <c r="F15" s="16">
        <v>41</v>
      </c>
      <c r="G15" s="16">
        <v>58</v>
      </c>
      <c r="H15" s="16">
        <f>46+73.5</f>
        <v>119.5</v>
      </c>
      <c r="I15" s="16">
        <f>46+85</f>
        <v>131</v>
      </c>
      <c r="J15" s="16">
        <v>17.5</v>
      </c>
      <c r="K15" s="16">
        <v>53</v>
      </c>
      <c r="L15" s="16">
        <v>22</v>
      </c>
      <c r="M15" s="16">
        <v>112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" customHeight="1" x14ac:dyDescent="0.2">
      <c r="A16" s="18">
        <v>14</v>
      </c>
      <c r="B16" s="20" t="s">
        <v>14</v>
      </c>
      <c r="C16" s="16">
        <v>45</v>
      </c>
      <c r="D16" s="16">
        <v>49</v>
      </c>
      <c r="E16" s="16">
        <v>50</v>
      </c>
      <c r="F16" s="16">
        <v>41</v>
      </c>
      <c r="G16" s="16">
        <v>61.5</v>
      </c>
      <c r="H16" s="16">
        <v>123</v>
      </c>
      <c r="I16" s="16">
        <v>132.5</v>
      </c>
      <c r="J16" s="16">
        <v>17</v>
      </c>
      <c r="K16" s="16">
        <v>58</v>
      </c>
      <c r="L16" s="16">
        <v>24</v>
      </c>
      <c r="M16" s="16">
        <v>101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" customHeight="1" x14ac:dyDescent="0.2">
      <c r="A17" s="18">
        <v>15</v>
      </c>
      <c r="B17" s="20" t="s">
        <v>15</v>
      </c>
      <c r="C17" s="16">
        <v>46</v>
      </c>
      <c r="D17" s="16">
        <v>47</v>
      </c>
      <c r="E17" s="16">
        <v>64</v>
      </c>
      <c r="F17" s="16">
        <v>46</v>
      </c>
      <c r="G17" s="16">
        <v>59</v>
      </c>
      <c r="H17" s="16">
        <v>121</v>
      </c>
      <c r="I17" s="16">
        <v>132</v>
      </c>
      <c r="J17" s="16">
        <v>16.5</v>
      </c>
      <c r="K17" s="16">
        <v>60</v>
      </c>
      <c r="L17" s="16">
        <v>23</v>
      </c>
      <c r="M17" s="16">
        <v>101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" customHeight="1" x14ac:dyDescent="0.2">
      <c r="A18" s="18">
        <v>16</v>
      </c>
      <c r="B18" s="20" t="s">
        <v>16</v>
      </c>
      <c r="C18" s="16">
        <v>46</v>
      </c>
      <c r="D18" s="16">
        <v>49</v>
      </c>
      <c r="E18" s="16">
        <v>60</v>
      </c>
      <c r="F18" s="16">
        <v>38</v>
      </c>
      <c r="G18" s="16">
        <v>58</v>
      </c>
      <c r="H18" s="16">
        <v>118</v>
      </c>
      <c r="I18" s="16">
        <v>128.5</v>
      </c>
      <c r="J18" s="16">
        <v>16.5</v>
      </c>
      <c r="K18" s="16">
        <v>57</v>
      </c>
      <c r="L18" s="16">
        <v>21</v>
      </c>
      <c r="M18" s="16">
        <v>101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" customHeight="1" x14ac:dyDescent="0.2">
      <c r="A19" s="18">
        <v>17</v>
      </c>
      <c r="B19" s="20" t="s">
        <v>17</v>
      </c>
      <c r="C19" s="16">
        <v>46</v>
      </c>
      <c r="D19" s="16">
        <v>45.5</v>
      </c>
      <c r="E19" s="16">
        <v>58</v>
      </c>
      <c r="F19" s="16">
        <v>46</v>
      </c>
      <c r="G19" s="16">
        <v>54.5</v>
      </c>
      <c r="H19" s="16">
        <f>69+46</f>
        <v>115</v>
      </c>
      <c r="I19" s="16">
        <f>46+82</f>
        <v>128</v>
      </c>
      <c r="J19" s="16">
        <v>15</v>
      </c>
      <c r="K19" s="16">
        <v>56</v>
      </c>
      <c r="L19" s="16">
        <v>24</v>
      </c>
      <c r="M19" s="16">
        <v>100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" customHeight="1" x14ac:dyDescent="0.2">
      <c r="A20" s="18">
        <v>18</v>
      </c>
      <c r="B20" s="20" t="s">
        <v>18</v>
      </c>
      <c r="C20" s="16">
        <v>49</v>
      </c>
      <c r="D20" s="16">
        <v>50.5</v>
      </c>
      <c r="E20" s="16">
        <v>45.5</v>
      </c>
      <c r="F20" s="16">
        <v>41</v>
      </c>
      <c r="G20" s="16">
        <v>65</v>
      </c>
      <c r="H20" s="16">
        <v>126.5</v>
      </c>
      <c r="I20" s="16">
        <v>136.5</v>
      </c>
      <c r="J20" s="16">
        <v>16</v>
      </c>
      <c r="K20" s="16">
        <v>60.5</v>
      </c>
      <c r="L20" s="16">
        <v>28.5</v>
      </c>
      <c r="M20" s="16">
        <v>109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" customHeight="1" x14ac:dyDescent="0.2">
      <c r="A21" s="18">
        <v>19</v>
      </c>
      <c r="B21" s="20" t="s">
        <v>19</v>
      </c>
      <c r="C21" s="16">
        <v>43.5</v>
      </c>
      <c r="D21" s="16">
        <v>41</v>
      </c>
      <c r="E21" s="16">
        <v>43</v>
      </c>
      <c r="F21" s="16">
        <v>44</v>
      </c>
      <c r="G21" s="16">
        <v>57.5</v>
      </c>
      <c r="H21" s="16">
        <f>78+43.5</f>
        <v>121.5</v>
      </c>
      <c r="I21" s="16">
        <f>88.5+43.5</f>
        <v>132</v>
      </c>
      <c r="J21" s="16">
        <v>15</v>
      </c>
      <c r="K21" s="16">
        <v>51</v>
      </c>
      <c r="L21" s="16">
        <v>26</v>
      </c>
      <c r="M21" s="16">
        <v>98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" customHeight="1" x14ac:dyDescent="0.2">
      <c r="A22" s="18">
        <v>20</v>
      </c>
      <c r="B22" s="20" t="s">
        <v>20</v>
      </c>
      <c r="C22" s="16">
        <v>43.5</v>
      </c>
      <c r="D22" s="16">
        <v>41.5</v>
      </c>
      <c r="E22" s="16">
        <v>40</v>
      </c>
      <c r="F22" s="16">
        <v>40</v>
      </c>
      <c r="G22" s="16">
        <v>56</v>
      </c>
      <c r="H22" s="16">
        <v>112.5</v>
      </c>
      <c r="I22" s="16">
        <v>123.5</v>
      </c>
      <c r="J22" s="16">
        <v>16</v>
      </c>
      <c r="K22" s="16">
        <v>52</v>
      </c>
      <c r="L22" s="16">
        <v>26</v>
      </c>
      <c r="M22" s="16">
        <v>98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" customHeight="1" x14ac:dyDescent="0.2">
      <c r="A23" s="18">
        <v>21</v>
      </c>
      <c r="B23" s="20" t="s">
        <v>21</v>
      </c>
      <c r="C23" s="16">
        <v>42</v>
      </c>
      <c r="D23" s="16">
        <v>45</v>
      </c>
      <c r="E23" s="16">
        <v>40.5</v>
      </c>
      <c r="F23" s="16">
        <v>44</v>
      </c>
      <c r="G23" s="16">
        <v>53</v>
      </c>
      <c r="H23" s="16">
        <f>69+42</f>
        <v>111</v>
      </c>
      <c r="I23" s="16">
        <f>79+42</f>
        <v>121</v>
      </c>
      <c r="J23" s="16">
        <v>17</v>
      </c>
      <c r="K23" s="16">
        <v>53</v>
      </c>
      <c r="L23" s="16">
        <v>28</v>
      </c>
      <c r="M23" s="16">
        <v>101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" customHeight="1" x14ac:dyDescent="0.2">
      <c r="A24" s="18">
        <v>22</v>
      </c>
      <c r="B24" s="20" t="s">
        <v>22</v>
      </c>
      <c r="C24" s="16">
        <v>42</v>
      </c>
      <c r="D24" s="16">
        <v>40.5</v>
      </c>
      <c r="E24" s="16">
        <v>37</v>
      </c>
      <c r="F24" s="16">
        <v>39</v>
      </c>
      <c r="G24" s="16">
        <v>50.5</v>
      </c>
      <c r="H24" s="16">
        <v>109</v>
      </c>
      <c r="I24" s="16">
        <v>120</v>
      </c>
      <c r="J24" s="16">
        <v>14</v>
      </c>
      <c r="K24" s="16">
        <v>50.5</v>
      </c>
      <c r="L24" s="16">
        <v>23.5</v>
      </c>
      <c r="M24" s="16">
        <v>101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" customHeight="1" x14ac:dyDescent="0.2">
      <c r="A25" s="18">
        <v>23</v>
      </c>
      <c r="B25" s="20" t="s">
        <v>23</v>
      </c>
      <c r="C25" s="16">
        <v>40.5</v>
      </c>
      <c r="D25" s="16">
        <v>36.5</v>
      </c>
      <c r="E25" s="16">
        <v>43.5</v>
      </c>
      <c r="F25" s="16">
        <v>44</v>
      </c>
      <c r="G25" s="16">
        <v>53.5</v>
      </c>
      <c r="H25" s="16">
        <v>108</v>
      </c>
      <c r="I25" s="16">
        <v>118</v>
      </c>
      <c r="J25" s="16">
        <v>16</v>
      </c>
      <c r="K25" s="16">
        <v>50</v>
      </c>
      <c r="L25" s="16">
        <v>25</v>
      </c>
      <c r="M25" s="16">
        <v>101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" customHeight="1" x14ac:dyDescent="0.2">
      <c r="A26" s="18">
        <v>24</v>
      </c>
      <c r="B26" s="20" t="s">
        <v>24</v>
      </c>
      <c r="C26" s="16">
        <v>46</v>
      </c>
      <c r="D26" s="16">
        <v>47</v>
      </c>
      <c r="E26" s="16">
        <v>39</v>
      </c>
      <c r="F26" s="16">
        <v>46</v>
      </c>
      <c r="G26" s="16">
        <v>56</v>
      </c>
      <c r="H26" s="16">
        <v>102</v>
      </c>
      <c r="I26" s="16">
        <f>84+46</f>
        <v>130</v>
      </c>
      <c r="J26" s="16">
        <v>17</v>
      </c>
      <c r="K26" s="16">
        <v>61</v>
      </c>
      <c r="L26" s="16">
        <v>20</v>
      </c>
      <c r="M26" s="16">
        <v>101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" customHeight="1" x14ac:dyDescent="0.2">
      <c r="A27" s="18">
        <v>25</v>
      </c>
      <c r="B27" s="20" t="s">
        <v>25</v>
      </c>
      <c r="C27" s="16">
        <v>40.5</v>
      </c>
      <c r="D27" s="16">
        <v>44.5</v>
      </c>
      <c r="E27" s="16">
        <v>40.5</v>
      </c>
      <c r="F27" s="16">
        <v>39.5</v>
      </c>
      <c r="G27" s="16">
        <v>55</v>
      </c>
      <c r="H27" s="16">
        <v>109</v>
      </c>
      <c r="I27" s="16">
        <v>119</v>
      </c>
      <c r="J27" s="16">
        <v>15.5</v>
      </c>
      <c r="K27" s="16">
        <v>55</v>
      </c>
      <c r="L27" s="16">
        <v>25</v>
      </c>
      <c r="M27" s="16">
        <v>101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" customHeight="1" x14ac:dyDescent="0.2">
      <c r="A28" s="18">
        <v>26</v>
      </c>
      <c r="B28" s="20" t="s">
        <v>26</v>
      </c>
      <c r="C28" s="16">
        <v>43</v>
      </c>
      <c r="D28" s="16">
        <v>48</v>
      </c>
      <c r="E28" s="16">
        <v>57.5</v>
      </c>
      <c r="F28" s="16">
        <v>46</v>
      </c>
      <c r="G28" s="16">
        <v>60</v>
      </c>
      <c r="H28" s="16">
        <v>118</v>
      </c>
      <c r="I28" s="16">
        <v>130.5</v>
      </c>
      <c r="J28" s="16">
        <v>15</v>
      </c>
      <c r="K28" s="16">
        <v>57</v>
      </c>
      <c r="L28" s="16">
        <v>27</v>
      </c>
      <c r="M28" s="16">
        <v>101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" customHeight="1" x14ac:dyDescent="0.2">
      <c r="A29" s="18">
        <v>27</v>
      </c>
      <c r="B29" s="20" t="s">
        <v>27</v>
      </c>
      <c r="C29" s="16">
        <v>47</v>
      </c>
      <c r="D29" s="16">
        <v>51</v>
      </c>
      <c r="E29" s="16">
        <v>53</v>
      </c>
      <c r="F29" s="16">
        <v>42</v>
      </c>
      <c r="G29" s="16">
        <v>56.5</v>
      </c>
      <c r="H29" s="16">
        <v>116</v>
      </c>
      <c r="I29" s="16">
        <v>126.5</v>
      </c>
      <c r="J29" s="16">
        <v>17</v>
      </c>
      <c r="K29" s="16">
        <v>57</v>
      </c>
      <c r="L29" s="16">
        <v>27</v>
      </c>
      <c r="M29" s="16">
        <v>101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" customHeight="1" x14ac:dyDescent="0.2">
      <c r="A30" s="18">
        <v>28</v>
      </c>
      <c r="B30" s="20" t="s">
        <v>28</v>
      </c>
      <c r="C30" s="16">
        <v>43</v>
      </c>
      <c r="D30" s="16">
        <v>47</v>
      </c>
      <c r="E30" s="16">
        <v>53</v>
      </c>
      <c r="F30" s="16">
        <v>38</v>
      </c>
      <c r="G30" s="16">
        <v>54.5</v>
      </c>
      <c r="H30" s="16">
        <v>111</v>
      </c>
      <c r="I30" s="16">
        <v>122</v>
      </c>
      <c r="J30" s="16">
        <v>15.5</v>
      </c>
      <c r="K30" s="16">
        <v>54</v>
      </c>
      <c r="L30" s="16">
        <v>23</v>
      </c>
      <c r="M30" s="16">
        <v>101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" customHeight="1" x14ac:dyDescent="0.2">
      <c r="A31" s="18">
        <v>29</v>
      </c>
      <c r="B31" s="20" t="s">
        <v>29</v>
      </c>
      <c r="C31" s="16">
        <v>43</v>
      </c>
      <c r="D31" s="16">
        <v>47</v>
      </c>
      <c r="E31" s="16">
        <v>52</v>
      </c>
      <c r="F31" s="16">
        <v>34</v>
      </c>
      <c r="G31" s="16">
        <v>54</v>
      </c>
      <c r="H31" s="16">
        <v>112</v>
      </c>
      <c r="I31" s="16">
        <v>121</v>
      </c>
      <c r="J31" s="16">
        <v>12.5</v>
      </c>
      <c r="K31" s="16">
        <v>53</v>
      </c>
      <c r="L31" s="16">
        <v>26</v>
      </c>
      <c r="M31" s="16">
        <v>101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" customHeight="1" x14ac:dyDescent="0.2">
      <c r="A32" s="18">
        <v>30</v>
      </c>
      <c r="B32" s="20" t="s">
        <v>30</v>
      </c>
      <c r="C32" s="16">
        <v>42</v>
      </c>
      <c r="D32" s="16">
        <v>47.5</v>
      </c>
      <c r="E32" s="16">
        <v>51</v>
      </c>
      <c r="F32" s="16">
        <v>37.5</v>
      </c>
      <c r="G32" s="16">
        <v>50.5</v>
      </c>
      <c r="H32" s="16">
        <v>108</v>
      </c>
      <c r="I32" s="16">
        <v>121</v>
      </c>
      <c r="J32" s="16">
        <v>12.5</v>
      </c>
      <c r="K32" s="16">
        <v>53</v>
      </c>
      <c r="L32" s="16">
        <v>23</v>
      </c>
      <c r="M32" s="16">
        <v>101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" customHeight="1" x14ac:dyDescent="0.2">
      <c r="A33" s="18">
        <v>31</v>
      </c>
      <c r="B33" s="20" t="s">
        <v>31</v>
      </c>
      <c r="C33" s="16">
        <v>49</v>
      </c>
      <c r="D33" s="16">
        <v>51</v>
      </c>
      <c r="E33" s="16">
        <v>58</v>
      </c>
      <c r="F33" s="16">
        <v>48</v>
      </c>
      <c r="G33" s="16">
        <v>68</v>
      </c>
      <c r="H33" s="16">
        <v>129</v>
      </c>
      <c r="I33" s="16">
        <f>94+43</f>
        <v>137</v>
      </c>
      <c r="J33" s="16">
        <v>19</v>
      </c>
      <c r="K33" s="16">
        <v>62</v>
      </c>
      <c r="L33" s="16">
        <v>25</v>
      </c>
      <c r="M33" s="16">
        <v>101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" customHeight="1" x14ac:dyDescent="0.2">
      <c r="A34" s="18">
        <v>32</v>
      </c>
      <c r="B34" s="20" t="s">
        <v>32</v>
      </c>
      <c r="C34" s="16">
        <v>46</v>
      </c>
      <c r="D34" s="16">
        <v>48</v>
      </c>
      <c r="E34" s="16">
        <v>49.5</v>
      </c>
      <c r="F34" s="16">
        <v>42</v>
      </c>
      <c r="G34" s="16">
        <v>61</v>
      </c>
      <c r="H34" s="16">
        <f>76+45</f>
        <v>121</v>
      </c>
      <c r="I34" s="16">
        <f>86.5+45</f>
        <v>131.5</v>
      </c>
      <c r="J34" s="16">
        <v>14</v>
      </c>
      <c r="K34" s="16">
        <v>56.5</v>
      </c>
      <c r="L34" s="16">
        <v>23.5</v>
      </c>
      <c r="M34" s="16">
        <v>109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" customHeight="1" x14ac:dyDescent="0.2">
      <c r="A35" s="18" t="s">
        <v>58</v>
      </c>
      <c r="B35" s="15"/>
      <c r="C35" s="15">
        <f t="shared" ref="C35:M35" si="1">SUM(C3:C34)</f>
        <v>1431</v>
      </c>
      <c r="D35" s="15">
        <f t="shared" si="1"/>
        <v>1467.5</v>
      </c>
      <c r="E35" s="15">
        <f t="shared" si="1"/>
        <v>1612.5</v>
      </c>
      <c r="F35" s="15">
        <f t="shared" si="1"/>
        <v>1348</v>
      </c>
      <c r="G35" s="15">
        <f t="shared" si="1"/>
        <v>1877.5</v>
      </c>
      <c r="H35" s="15">
        <f t="shared" si="1"/>
        <v>3755.5</v>
      </c>
      <c r="I35" s="15">
        <f t="shared" si="1"/>
        <v>4122.5</v>
      </c>
      <c r="J35" s="15">
        <f t="shared" si="1"/>
        <v>517</v>
      </c>
      <c r="K35" s="15">
        <f t="shared" si="1"/>
        <v>1783.5</v>
      </c>
      <c r="L35" s="15">
        <f t="shared" si="1"/>
        <v>768.5</v>
      </c>
      <c r="M35" s="15">
        <f t="shared" si="1"/>
        <v>3319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" customHeight="1" x14ac:dyDescent="0.2">
      <c r="A36" s="18" t="s">
        <v>59</v>
      </c>
      <c r="B36" s="15"/>
      <c r="C36" s="21">
        <f t="shared" ref="C36:M36" si="2">AVERAGE(C3:C34)</f>
        <v>44.71875</v>
      </c>
      <c r="D36" s="21">
        <f t="shared" si="2"/>
        <v>45.859375</v>
      </c>
      <c r="E36" s="21">
        <f t="shared" si="2"/>
        <v>50.390625</v>
      </c>
      <c r="F36" s="21">
        <f t="shared" si="2"/>
        <v>42.125</v>
      </c>
      <c r="G36" s="21">
        <f t="shared" si="2"/>
        <v>58.671875</v>
      </c>
      <c r="H36" s="21">
        <f t="shared" si="2"/>
        <v>117.359375</v>
      </c>
      <c r="I36" s="21">
        <f t="shared" si="2"/>
        <v>128.828125</v>
      </c>
      <c r="J36" s="21">
        <f t="shared" si="2"/>
        <v>16.15625</v>
      </c>
      <c r="K36" s="21">
        <f t="shared" si="2"/>
        <v>55.734375</v>
      </c>
      <c r="L36" s="21">
        <f t="shared" si="2"/>
        <v>24.015625</v>
      </c>
      <c r="M36" s="21">
        <f t="shared" si="2"/>
        <v>103.71875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" customHeight="1" x14ac:dyDescent="0.2">
      <c r="A37" s="18" t="s">
        <v>60</v>
      </c>
      <c r="B37" s="15"/>
      <c r="C37" s="21">
        <f t="shared" ref="C37:M37" si="3">_xlfn.STDEV.S(C3:C32)</f>
        <v>2.2966742571984731</v>
      </c>
      <c r="D37" s="21">
        <f t="shared" si="3"/>
        <v>3.3725139843613166</v>
      </c>
      <c r="E37" s="21">
        <f t="shared" si="3"/>
        <v>7.3429925936150324</v>
      </c>
      <c r="F37" s="21">
        <f t="shared" si="3"/>
        <v>3.2021903423290983</v>
      </c>
      <c r="G37" s="21">
        <f t="shared" si="3"/>
        <v>4.6714158920804296</v>
      </c>
      <c r="H37" s="21">
        <f t="shared" si="3"/>
        <v>6.3111149897457191</v>
      </c>
      <c r="I37" s="21">
        <f t="shared" si="3"/>
        <v>6.0185536888647198</v>
      </c>
      <c r="J37" s="21">
        <f t="shared" si="3"/>
        <v>1.6396663523797876</v>
      </c>
      <c r="K37" s="21">
        <f t="shared" si="3"/>
        <v>3.3192230083726439</v>
      </c>
      <c r="L37" s="21">
        <f t="shared" si="3"/>
        <v>2.8314733583967104</v>
      </c>
      <c r="M37" s="21">
        <f t="shared" si="3"/>
        <v>4.6792523226313172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" customHeight="1" x14ac:dyDescent="0.2">
      <c r="A38" s="18" t="s">
        <v>67</v>
      </c>
      <c r="B38" s="15"/>
      <c r="C38" s="15">
        <f t="shared" ref="C38:M38" si="4">COUNT(C3:C34)</f>
        <v>32</v>
      </c>
      <c r="D38" s="15">
        <f t="shared" si="4"/>
        <v>32</v>
      </c>
      <c r="E38" s="15">
        <f t="shared" si="4"/>
        <v>32</v>
      </c>
      <c r="F38" s="15">
        <f t="shared" si="4"/>
        <v>32</v>
      </c>
      <c r="G38" s="15">
        <f t="shared" si="4"/>
        <v>32</v>
      </c>
      <c r="H38" s="15">
        <f t="shared" si="4"/>
        <v>32</v>
      </c>
      <c r="I38" s="15">
        <f t="shared" si="4"/>
        <v>32</v>
      </c>
      <c r="J38" s="15">
        <f t="shared" si="4"/>
        <v>32</v>
      </c>
      <c r="K38" s="15">
        <f t="shared" si="4"/>
        <v>32</v>
      </c>
      <c r="L38" s="15">
        <f t="shared" si="4"/>
        <v>32</v>
      </c>
      <c r="M38" s="15">
        <f t="shared" si="4"/>
        <v>32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" customHeight="1" x14ac:dyDescent="0.2">
      <c r="A39" s="18" t="s">
        <v>68</v>
      </c>
      <c r="B39" s="15"/>
      <c r="C39" s="21">
        <f t="shared" ref="C39:M39" si="5">C36+2*C37</f>
        <v>49.312098514396943</v>
      </c>
      <c r="D39" s="21">
        <f t="shared" si="5"/>
        <v>52.604402968722631</v>
      </c>
      <c r="E39" s="21">
        <f t="shared" si="5"/>
        <v>65.07661018723006</v>
      </c>
      <c r="F39" s="21">
        <f t="shared" si="5"/>
        <v>48.529380684658193</v>
      </c>
      <c r="G39" s="21">
        <f t="shared" si="5"/>
        <v>68.014706784160865</v>
      </c>
      <c r="H39" s="21">
        <f t="shared" si="5"/>
        <v>129.98160497949144</v>
      </c>
      <c r="I39" s="21">
        <f t="shared" si="5"/>
        <v>140.86523237772943</v>
      </c>
      <c r="J39" s="21">
        <f t="shared" si="5"/>
        <v>19.435582704759575</v>
      </c>
      <c r="K39" s="21">
        <f t="shared" si="5"/>
        <v>62.372821016745291</v>
      </c>
      <c r="L39" s="21">
        <f t="shared" si="5"/>
        <v>29.678571716793421</v>
      </c>
      <c r="M39" s="21">
        <f t="shared" si="5"/>
        <v>113.07725464526263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" customHeight="1" x14ac:dyDescent="0.2">
      <c r="A40" s="18" t="s">
        <v>69</v>
      </c>
      <c r="B40" s="15"/>
      <c r="C40" s="21">
        <f t="shared" ref="C40:M40" si="6">C36-2*C37</f>
        <v>40.125401485603057</v>
      </c>
      <c r="D40" s="21">
        <f t="shared" si="6"/>
        <v>39.114347031277369</v>
      </c>
      <c r="E40" s="21">
        <f t="shared" si="6"/>
        <v>35.704639812769933</v>
      </c>
      <c r="F40" s="21">
        <f t="shared" si="6"/>
        <v>35.720619315341807</v>
      </c>
      <c r="G40" s="21">
        <f t="shared" si="6"/>
        <v>49.329043215839143</v>
      </c>
      <c r="H40" s="21">
        <f t="shared" si="6"/>
        <v>104.73714502050856</v>
      </c>
      <c r="I40" s="21">
        <f t="shared" si="6"/>
        <v>116.79101762227056</v>
      </c>
      <c r="J40" s="21">
        <f t="shared" si="6"/>
        <v>12.876917295240425</v>
      </c>
      <c r="K40" s="21">
        <f t="shared" si="6"/>
        <v>49.095928983254709</v>
      </c>
      <c r="L40" s="21">
        <f t="shared" si="6"/>
        <v>18.352678283206579</v>
      </c>
      <c r="M40" s="21">
        <f t="shared" si="6"/>
        <v>94.360245354737373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" customHeight="1" x14ac:dyDescent="0.2">
      <c r="A41" s="14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" customHeight="1" x14ac:dyDescent="0.2">
      <c r="A42" s="14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" customHeight="1" x14ac:dyDescent="0.2">
      <c r="A43" s="14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" customHeight="1" x14ac:dyDescent="0.2">
      <c r="A44" s="14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" customHeight="1" x14ac:dyDescent="0.2">
      <c r="A45" s="14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" customHeight="1" x14ac:dyDescent="0.2">
      <c r="A46" s="14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" customHeight="1" x14ac:dyDescent="0.2">
      <c r="A47" s="14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" customHeight="1" x14ac:dyDescent="0.2">
      <c r="A48" s="14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" customHeight="1" x14ac:dyDescent="0.2">
      <c r="A49" s="1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" customHeight="1" x14ac:dyDescent="0.2">
      <c r="A50" s="14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" customHeight="1" x14ac:dyDescent="0.2">
      <c r="A51" s="14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" customHeight="1" x14ac:dyDescent="0.2">
      <c r="A52" s="14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" customHeight="1" x14ac:dyDescent="0.2">
      <c r="A53" s="14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" customHeight="1" x14ac:dyDescent="0.2">
      <c r="A54" s="14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" customHeight="1" x14ac:dyDescent="0.2">
      <c r="A55" s="14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" customHeight="1" x14ac:dyDescent="0.2">
      <c r="A56" s="14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" customHeight="1" x14ac:dyDescent="0.2">
      <c r="A57" s="14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" customHeight="1" x14ac:dyDescent="0.2">
      <c r="A58" s="14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" customHeight="1" x14ac:dyDescent="0.2">
      <c r="A59" s="14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" customHeight="1" x14ac:dyDescent="0.2">
      <c r="A60" s="14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" customHeight="1" x14ac:dyDescent="0.2">
      <c r="A61" s="14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" customHeight="1" x14ac:dyDescent="0.2">
      <c r="A62" s="14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" customHeight="1" x14ac:dyDescent="0.2">
      <c r="A63" s="14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" customHeight="1" x14ac:dyDescent="0.2">
      <c r="A64" s="14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" customHeight="1" x14ac:dyDescent="0.2">
      <c r="A65" s="14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" customHeight="1" x14ac:dyDescent="0.2">
      <c r="A66" s="14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" customHeight="1" x14ac:dyDescent="0.2">
      <c r="A67" s="14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" customHeight="1" x14ac:dyDescent="0.2">
      <c r="A68" s="14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" customHeight="1" x14ac:dyDescent="0.2">
      <c r="A69" s="14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" customHeight="1" x14ac:dyDescent="0.2">
      <c r="A70" s="14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" customHeight="1" x14ac:dyDescent="0.2">
      <c r="A71" s="14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" customHeight="1" x14ac:dyDescent="0.2">
      <c r="A72" s="14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" customHeight="1" x14ac:dyDescent="0.2">
      <c r="A73" s="14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" customHeight="1" x14ac:dyDescent="0.2">
      <c r="A74" s="14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" customHeight="1" x14ac:dyDescent="0.2">
      <c r="A75" s="14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" customHeight="1" x14ac:dyDescent="0.2">
      <c r="A76" s="14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" customHeight="1" x14ac:dyDescent="0.2">
      <c r="A77" s="14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" customHeight="1" x14ac:dyDescent="0.2">
      <c r="A78" s="14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" customHeight="1" x14ac:dyDescent="0.2">
      <c r="A79" s="14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" customHeight="1" x14ac:dyDescent="0.2">
      <c r="A80" s="14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" customHeight="1" x14ac:dyDescent="0.2">
      <c r="A81" s="14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" customHeight="1" x14ac:dyDescent="0.2">
      <c r="A82" s="14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" customHeight="1" x14ac:dyDescent="0.2">
      <c r="A83" s="14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" customHeight="1" x14ac:dyDescent="0.2">
      <c r="A84" s="14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" customHeight="1" x14ac:dyDescent="0.2">
      <c r="A85" s="14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" customHeight="1" x14ac:dyDescent="0.2">
      <c r="A86" s="14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" customHeight="1" x14ac:dyDescent="0.2">
      <c r="A87" s="14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" customHeight="1" x14ac:dyDescent="0.2">
      <c r="A88" s="14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" customHeight="1" x14ac:dyDescent="0.2">
      <c r="A89" s="14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" customHeight="1" x14ac:dyDescent="0.2">
      <c r="A90" s="14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" customHeight="1" x14ac:dyDescent="0.2">
      <c r="A91" s="14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" customHeight="1" x14ac:dyDescent="0.2">
      <c r="A92" s="14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" customHeight="1" x14ac:dyDescent="0.2">
      <c r="A93" s="14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" customHeight="1" x14ac:dyDescent="0.2">
      <c r="A94" s="14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" customHeight="1" x14ac:dyDescent="0.2">
      <c r="A95" s="14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" customHeight="1" x14ac:dyDescent="0.2">
      <c r="A96" s="14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" customHeight="1" x14ac:dyDescent="0.2">
      <c r="A97" s="14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" customHeight="1" x14ac:dyDescent="0.2">
      <c r="A98" s="14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" customHeight="1" x14ac:dyDescent="0.2">
      <c r="A99" s="14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" customHeight="1" x14ac:dyDescent="0.2">
      <c r="A100" s="14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" customHeight="1" x14ac:dyDescent="0.2">
      <c r="A101" s="14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" customHeight="1" x14ac:dyDescent="0.2">
      <c r="A102" s="14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" customHeight="1" x14ac:dyDescent="0.2">
      <c r="A103" s="14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" customHeight="1" x14ac:dyDescent="0.2">
      <c r="A104" s="14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" customHeight="1" x14ac:dyDescent="0.2">
      <c r="A105" s="14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" customHeight="1" x14ac:dyDescent="0.2">
      <c r="A106" s="14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" customHeight="1" x14ac:dyDescent="0.2">
      <c r="A107" s="14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" customHeight="1" x14ac:dyDescent="0.2">
      <c r="A108" s="14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" customHeight="1" x14ac:dyDescent="0.2">
      <c r="A109" s="14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" customHeight="1" x14ac:dyDescent="0.2">
      <c r="A110" s="14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" customHeight="1" x14ac:dyDescent="0.2">
      <c r="A111" s="14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" customHeight="1" x14ac:dyDescent="0.2">
      <c r="A112" s="14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" customHeight="1" x14ac:dyDescent="0.2">
      <c r="A113" s="14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" customHeight="1" x14ac:dyDescent="0.2">
      <c r="A114" s="14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" customHeight="1" x14ac:dyDescent="0.2">
      <c r="A115" s="14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" customHeight="1" x14ac:dyDescent="0.2">
      <c r="A116" s="1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" customHeight="1" x14ac:dyDescent="0.2">
      <c r="A117" s="14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" customHeight="1" x14ac:dyDescent="0.2">
      <c r="A118" s="14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" customHeight="1" x14ac:dyDescent="0.2">
      <c r="A119" s="1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" customHeight="1" x14ac:dyDescent="0.2">
      <c r="A120" s="14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" customHeight="1" x14ac:dyDescent="0.2">
      <c r="A121" s="14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" customHeight="1" x14ac:dyDescent="0.2">
      <c r="A122" s="14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" customHeight="1" x14ac:dyDescent="0.2">
      <c r="A123" s="14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" customHeight="1" x14ac:dyDescent="0.2">
      <c r="A124" s="14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" customHeight="1" x14ac:dyDescent="0.2">
      <c r="A125" s="14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" customHeight="1" x14ac:dyDescent="0.2">
      <c r="A126" s="14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" customHeight="1" x14ac:dyDescent="0.2">
      <c r="A127" s="14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" customHeight="1" x14ac:dyDescent="0.2">
      <c r="A128" s="14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" customHeight="1" x14ac:dyDescent="0.2">
      <c r="A129" s="14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" customHeight="1" x14ac:dyDescent="0.2">
      <c r="A130" s="14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" customHeight="1" x14ac:dyDescent="0.2">
      <c r="A131" s="14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" customHeight="1" x14ac:dyDescent="0.2">
      <c r="A132" s="14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" customHeight="1" x14ac:dyDescent="0.2">
      <c r="A133" s="14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" customHeight="1" x14ac:dyDescent="0.2">
      <c r="A134" s="14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" customHeight="1" x14ac:dyDescent="0.2">
      <c r="A135" s="14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" customHeight="1" x14ac:dyDescent="0.2">
      <c r="A136" s="14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" customHeight="1" x14ac:dyDescent="0.2">
      <c r="A137" s="14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" customHeight="1" x14ac:dyDescent="0.2">
      <c r="A138" s="14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" customHeight="1" x14ac:dyDescent="0.2">
      <c r="A139" s="14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" customHeight="1" x14ac:dyDescent="0.2">
      <c r="A140" s="14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" customHeight="1" x14ac:dyDescent="0.2">
      <c r="A141" s="14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" customHeight="1" x14ac:dyDescent="0.2">
      <c r="A142" s="14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" customHeight="1" x14ac:dyDescent="0.2">
      <c r="A143" s="14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" customHeight="1" x14ac:dyDescent="0.2">
      <c r="A144" s="14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" customHeight="1" x14ac:dyDescent="0.2">
      <c r="A145" s="14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" customHeight="1" x14ac:dyDescent="0.2">
      <c r="A146" s="14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" customHeight="1" x14ac:dyDescent="0.2">
      <c r="A147" s="14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" customHeight="1" x14ac:dyDescent="0.2">
      <c r="A148" s="14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" customHeight="1" x14ac:dyDescent="0.2">
      <c r="A149" s="14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" customHeight="1" x14ac:dyDescent="0.2">
      <c r="A150" s="14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" customHeight="1" x14ac:dyDescent="0.2">
      <c r="A151" s="14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" customHeight="1" x14ac:dyDescent="0.2">
      <c r="A152" s="14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" customHeight="1" x14ac:dyDescent="0.2">
      <c r="A153" s="14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" customHeight="1" x14ac:dyDescent="0.2">
      <c r="A154" s="14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" customHeight="1" x14ac:dyDescent="0.2">
      <c r="A155" s="14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" customHeight="1" x14ac:dyDescent="0.2">
      <c r="A156" s="14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" customHeight="1" x14ac:dyDescent="0.2">
      <c r="A157" s="14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" customHeight="1" x14ac:dyDescent="0.2">
      <c r="A158" s="14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" customHeight="1" x14ac:dyDescent="0.2">
      <c r="A159" s="14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" customHeight="1" x14ac:dyDescent="0.2">
      <c r="A160" s="14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" customHeight="1" x14ac:dyDescent="0.2">
      <c r="A161" s="14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" customHeight="1" x14ac:dyDescent="0.2">
      <c r="A162" s="14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" customHeight="1" x14ac:dyDescent="0.2">
      <c r="A163" s="14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" customHeight="1" x14ac:dyDescent="0.2">
      <c r="A164" s="14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" customHeight="1" x14ac:dyDescent="0.2">
      <c r="A165" s="14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" customHeight="1" x14ac:dyDescent="0.2">
      <c r="A166" s="14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" customHeight="1" x14ac:dyDescent="0.2">
      <c r="A167" s="14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" customHeight="1" x14ac:dyDescent="0.2">
      <c r="A168" s="14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" customHeight="1" x14ac:dyDescent="0.2">
      <c r="A169" s="14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" customHeight="1" x14ac:dyDescent="0.2">
      <c r="A170" s="14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" customHeight="1" x14ac:dyDescent="0.2">
      <c r="A171" s="14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" customHeight="1" x14ac:dyDescent="0.2">
      <c r="A172" s="14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" customHeight="1" x14ac:dyDescent="0.2">
      <c r="A173" s="14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" customHeight="1" x14ac:dyDescent="0.2">
      <c r="A174" s="14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" customHeight="1" x14ac:dyDescent="0.2">
      <c r="A175" s="14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" customHeight="1" x14ac:dyDescent="0.2">
      <c r="A176" s="14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" customHeight="1" x14ac:dyDescent="0.2">
      <c r="A177" s="14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" customHeight="1" x14ac:dyDescent="0.2">
      <c r="A178" s="14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" customHeight="1" x14ac:dyDescent="0.2">
      <c r="A179" s="14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" customHeight="1" x14ac:dyDescent="0.2">
      <c r="A180" s="14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" customHeight="1" x14ac:dyDescent="0.2">
      <c r="A181" s="14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" customHeight="1" x14ac:dyDescent="0.2">
      <c r="A182" s="14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" customHeight="1" x14ac:dyDescent="0.2">
      <c r="A183" s="14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" customHeight="1" x14ac:dyDescent="0.2">
      <c r="A184" s="14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" customHeight="1" x14ac:dyDescent="0.2">
      <c r="A185" s="14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" customHeight="1" x14ac:dyDescent="0.2">
      <c r="A186" s="14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" customHeight="1" x14ac:dyDescent="0.2">
      <c r="A187" s="14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" customHeight="1" x14ac:dyDescent="0.2">
      <c r="A188" s="14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" customHeight="1" x14ac:dyDescent="0.2">
      <c r="A189" s="14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" customHeight="1" x14ac:dyDescent="0.2">
      <c r="A190" s="14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" customHeight="1" x14ac:dyDescent="0.2">
      <c r="A191" s="14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" customHeight="1" x14ac:dyDescent="0.2">
      <c r="A192" s="14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" customHeight="1" x14ac:dyDescent="0.2">
      <c r="A193" s="14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" customHeight="1" x14ac:dyDescent="0.2">
      <c r="A194" s="14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" customHeight="1" x14ac:dyDescent="0.2">
      <c r="A195" s="14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" customHeight="1" x14ac:dyDescent="0.2">
      <c r="A196" s="14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" customHeight="1" x14ac:dyDescent="0.2">
      <c r="A197" s="14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" customHeight="1" x14ac:dyDescent="0.2">
      <c r="A198" s="14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" customHeight="1" x14ac:dyDescent="0.2">
      <c r="A199" s="14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" customHeight="1" x14ac:dyDescent="0.2">
      <c r="A200" s="14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" customHeight="1" x14ac:dyDescent="0.2">
      <c r="A201" s="14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" customHeight="1" x14ac:dyDescent="0.2">
      <c r="A202" s="14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" customHeight="1" x14ac:dyDescent="0.2">
      <c r="A203" s="14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" customHeight="1" x14ac:dyDescent="0.2">
      <c r="A204" s="14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" customHeight="1" x14ac:dyDescent="0.2">
      <c r="A205" s="14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" customHeight="1" x14ac:dyDescent="0.2">
      <c r="A206" s="14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" customHeight="1" x14ac:dyDescent="0.2">
      <c r="A207" s="14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" customHeight="1" x14ac:dyDescent="0.2">
      <c r="A208" s="14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" customHeight="1" x14ac:dyDescent="0.2">
      <c r="A209" s="14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" customHeight="1" x14ac:dyDescent="0.2">
      <c r="A210" s="14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" customHeight="1" x14ac:dyDescent="0.2">
      <c r="A211" s="14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" customHeight="1" x14ac:dyDescent="0.2">
      <c r="A212" s="14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" customHeight="1" x14ac:dyDescent="0.2">
      <c r="A213" s="14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" customHeight="1" x14ac:dyDescent="0.2">
      <c r="A214" s="14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" customHeight="1" x14ac:dyDescent="0.2">
      <c r="A215" s="14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" customHeight="1" x14ac:dyDescent="0.2">
      <c r="A216" s="14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" customHeight="1" x14ac:dyDescent="0.2">
      <c r="A217" s="14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" customHeight="1" x14ac:dyDescent="0.2">
      <c r="A218" s="14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" customHeight="1" x14ac:dyDescent="0.2">
      <c r="A219" s="14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" customHeight="1" x14ac:dyDescent="0.2">
      <c r="A220" s="14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" customHeight="1" x14ac:dyDescent="0.2">
      <c r="A221" s="14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" customHeight="1" x14ac:dyDescent="0.2">
      <c r="A222" s="14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" customHeight="1" x14ac:dyDescent="0.2">
      <c r="A223" s="14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" customHeight="1" x14ac:dyDescent="0.2">
      <c r="A224" s="14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" customHeight="1" x14ac:dyDescent="0.2">
      <c r="A225" s="14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" customHeight="1" x14ac:dyDescent="0.2">
      <c r="A226" s="14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" customHeight="1" x14ac:dyDescent="0.2">
      <c r="A227" s="14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" customHeight="1" x14ac:dyDescent="0.2">
      <c r="A228" s="14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" customHeight="1" x14ac:dyDescent="0.2">
      <c r="A229" s="14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" customHeight="1" x14ac:dyDescent="0.2">
      <c r="A230" s="14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" customHeight="1" x14ac:dyDescent="0.2">
      <c r="A231" s="14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" customHeight="1" x14ac:dyDescent="0.2">
      <c r="A232" s="14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" customHeight="1" x14ac:dyDescent="0.2">
      <c r="A233" s="14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" customHeight="1" x14ac:dyDescent="0.2">
      <c r="A234" s="14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" customHeight="1" x14ac:dyDescent="0.2">
      <c r="A235" s="14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" customHeight="1" x14ac:dyDescent="0.2">
      <c r="A236" s="14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" customHeight="1" x14ac:dyDescent="0.2">
      <c r="A237" s="14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" customHeight="1" x14ac:dyDescent="0.2">
      <c r="A238" s="14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" customHeight="1" x14ac:dyDescent="0.2">
      <c r="A239" s="14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" customHeight="1" x14ac:dyDescent="0.2">
      <c r="A240" s="14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" customHeight="1" x14ac:dyDescent="0.2">
      <c r="A241" s="14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" customHeight="1" x14ac:dyDescent="0.2">
      <c r="A242" s="14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" customHeight="1" x14ac:dyDescent="0.2">
      <c r="A243" s="14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" customHeight="1" x14ac:dyDescent="0.2">
      <c r="A244" s="14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" customHeight="1" x14ac:dyDescent="0.2">
      <c r="A245" s="14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" customHeight="1" x14ac:dyDescent="0.2">
      <c r="A246" s="14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" customHeight="1" x14ac:dyDescent="0.2">
      <c r="A247" s="14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" customHeight="1" x14ac:dyDescent="0.2">
      <c r="A248" s="14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" customHeight="1" x14ac:dyDescent="0.2">
      <c r="A249" s="14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" customHeight="1" x14ac:dyDescent="0.2">
      <c r="A250" s="14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" customHeight="1" x14ac:dyDescent="0.2">
      <c r="A251" s="14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" customHeight="1" x14ac:dyDescent="0.2">
      <c r="A252" s="14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" customHeight="1" x14ac:dyDescent="0.2">
      <c r="A253" s="14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" customHeight="1" x14ac:dyDescent="0.2">
      <c r="A254" s="14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" customHeight="1" x14ac:dyDescent="0.2">
      <c r="A255" s="14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" customHeight="1" x14ac:dyDescent="0.2">
      <c r="A256" s="14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" customHeight="1" x14ac:dyDescent="0.2">
      <c r="A257" s="14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" customHeight="1" x14ac:dyDescent="0.2">
      <c r="A258" s="14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" customHeight="1" x14ac:dyDescent="0.2">
      <c r="A259" s="14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" customHeight="1" x14ac:dyDescent="0.2">
      <c r="A260" s="14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" customHeight="1" x14ac:dyDescent="0.2">
      <c r="A261" s="14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" customHeight="1" x14ac:dyDescent="0.2">
      <c r="A262" s="14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" customHeight="1" x14ac:dyDescent="0.2">
      <c r="A263" s="14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" customHeight="1" x14ac:dyDescent="0.2">
      <c r="A264" s="14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" customHeight="1" x14ac:dyDescent="0.2">
      <c r="A265" s="14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" customHeight="1" x14ac:dyDescent="0.2">
      <c r="A266" s="14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" customHeight="1" x14ac:dyDescent="0.2">
      <c r="A267" s="14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" customHeight="1" x14ac:dyDescent="0.2">
      <c r="A268" s="14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" customHeight="1" x14ac:dyDescent="0.2">
      <c r="A269" s="14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" customHeight="1" x14ac:dyDescent="0.2">
      <c r="A270" s="14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" customHeight="1" x14ac:dyDescent="0.2">
      <c r="A271" s="14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" customHeight="1" x14ac:dyDescent="0.2">
      <c r="A272" s="14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" customHeight="1" x14ac:dyDescent="0.2">
      <c r="A273" s="14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" customHeight="1" x14ac:dyDescent="0.2">
      <c r="A274" s="14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" customHeight="1" x14ac:dyDescent="0.2">
      <c r="A275" s="14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" customHeight="1" x14ac:dyDescent="0.2">
      <c r="A276" s="14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" customHeight="1" x14ac:dyDescent="0.2">
      <c r="A277" s="14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" customHeight="1" x14ac:dyDescent="0.2">
      <c r="A278" s="14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" customHeight="1" x14ac:dyDescent="0.2">
      <c r="A279" s="14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" customHeight="1" x14ac:dyDescent="0.2">
      <c r="A280" s="14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" customHeight="1" x14ac:dyDescent="0.2">
      <c r="A281" s="14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" customHeight="1" x14ac:dyDescent="0.2">
      <c r="A282" s="14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" customHeight="1" x14ac:dyDescent="0.2">
      <c r="A283" s="14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" customHeight="1" x14ac:dyDescent="0.2">
      <c r="A284" s="14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" customHeight="1" x14ac:dyDescent="0.2">
      <c r="A285" s="14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" customHeight="1" x14ac:dyDescent="0.2">
      <c r="A286" s="14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" customHeight="1" x14ac:dyDescent="0.2">
      <c r="A287" s="14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" customHeight="1" x14ac:dyDescent="0.2">
      <c r="A288" s="14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" customHeight="1" x14ac:dyDescent="0.2">
      <c r="A289" s="14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" customHeight="1" x14ac:dyDescent="0.2">
      <c r="A290" s="14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" customHeight="1" x14ac:dyDescent="0.2">
      <c r="A291" s="14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" customHeight="1" x14ac:dyDescent="0.2">
      <c r="A292" s="14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" customHeight="1" x14ac:dyDescent="0.2">
      <c r="A293" s="14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" customHeight="1" x14ac:dyDescent="0.2">
      <c r="A294" s="14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" customHeight="1" x14ac:dyDescent="0.2">
      <c r="A295" s="14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" customHeight="1" x14ac:dyDescent="0.2">
      <c r="A296" s="14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" customHeight="1" x14ac:dyDescent="0.2">
      <c r="A297" s="14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" customHeight="1" x14ac:dyDescent="0.2">
      <c r="A298" s="14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" customHeight="1" x14ac:dyDescent="0.2">
      <c r="A299" s="14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" customHeight="1" x14ac:dyDescent="0.2">
      <c r="A300" s="14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" customHeight="1" x14ac:dyDescent="0.2">
      <c r="A301" s="14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" customHeight="1" x14ac:dyDescent="0.2">
      <c r="A302" s="14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" customHeight="1" x14ac:dyDescent="0.2">
      <c r="A303" s="14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" customHeight="1" x14ac:dyDescent="0.2">
      <c r="A304" s="14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" customHeight="1" x14ac:dyDescent="0.2">
      <c r="A305" s="14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" customHeight="1" x14ac:dyDescent="0.2">
      <c r="A306" s="14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" customHeight="1" x14ac:dyDescent="0.2">
      <c r="A307" s="14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" customHeight="1" x14ac:dyDescent="0.2">
      <c r="A308" s="14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" customHeight="1" x14ac:dyDescent="0.2">
      <c r="A309" s="14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" customHeight="1" x14ac:dyDescent="0.2">
      <c r="A310" s="14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" customHeight="1" x14ac:dyDescent="0.2">
      <c r="A311" s="14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" customHeight="1" x14ac:dyDescent="0.2">
      <c r="A312" s="14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" customHeight="1" x14ac:dyDescent="0.2">
      <c r="A313" s="14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" customHeight="1" x14ac:dyDescent="0.2">
      <c r="A314" s="14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" customHeight="1" x14ac:dyDescent="0.2">
      <c r="A315" s="14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" customHeight="1" x14ac:dyDescent="0.2">
      <c r="A316" s="14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" customHeight="1" x14ac:dyDescent="0.2">
      <c r="A317" s="14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" customHeight="1" x14ac:dyDescent="0.2">
      <c r="A318" s="14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" customHeight="1" x14ac:dyDescent="0.2">
      <c r="A319" s="14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" customHeight="1" x14ac:dyDescent="0.2">
      <c r="A320" s="14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" customHeight="1" x14ac:dyDescent="0.2">
      <c r="A321" s="14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" customHeight="1" x14ac:dyDescent="0.2">
      <c r="A322" s="14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" customHeight="1" x14ac:dyDescent="0.2">
      <c r="A323" s="14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" customHeight="1" x14ac:dyDescent="0.2">
      <c r="A324" s="14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" customHeight="1" x14ac:dyDescent="0.2">
      <c r="A325" s="14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" customHeight="1" x14ac:dyDescent="0.2">
      <c r="A326" s="14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" customHeight="1" x14ac:dyDescent="0.2">
      <c r="A327" s="14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" customHeight="1" x14ac:dyDescent="0.2">
      <c r="A328" s="14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" customHeight="1" x14ac:dyDescent="0.2">
      <c r="A329" s="14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" customHeight="1" x14ac:dyDescent="0.2">
      <c r="A330" s="14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" customHeight="1" x14ac:dyDescent="0.2">
      <c r="A331" s="14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" customHeight="1" x14ac:dyDescent="0.2">
      <c r="A332" s="14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" customHeight="1" x14ac:dyDescent="0.2">
      <c r="A333" s="14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" customHeight="1" x14ac:dyDescent="0.2">
      <c r="A334" s="14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" customHeight="1" x14ac:dyDescent="0.2">
      <c r="A335" s="14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" customHeight="1" x14ac:dyDescent="0.2">
      <c r="A336" s="14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" customHeight="1" x14ac:dyDescent="0.2">
      <c r="A337" s="14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" customHeight="1" x14ac:dyDescent="0.2">
      <c r="A338" s="14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" customHeight="1" x14ac:dyDescent="0.2">
      <c r="A339" s="14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" customHeight="1" x14ac:dyDescent="0.2">
      <c r="A340" s="14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" customHeight="1" x14ac:dyDescent="0.2">
      <c r="A341" s="14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" customHeight="1" x14ac:dyDescent="0.2">
      <c r="A342" s="14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" customHeight="1" x14ac:dyDescent="0.2">
      <c r="A343" s="14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" customHeight="1" x14ac:dyDescent="0.2">
      <c r="A344" s="14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" customHeight="1" x14ac:dyDescent="0.2">
      <c r="A345" s="14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" customHeight="1" x14ac:dyDescent="0.2">
      <c r="A346" s="14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" customHeight="1" x14ac:dyDescent="0.2">
      <c r="A347" s="14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" customHeight="1" x14ac:dyDescent="0.2">
      <c r="A348" s="14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" customHeight="1" x14ac:dyDescent="0.2">
      <c r="A349" s="14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" customHeight="1" x14ac:dyDescent="0.2">
      <c r="A350" s="14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" customHeight="1" x14ac:dyDescent="0.2">
      <c r="A351" s="14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" customHeight="1" x14ac:dyDescent="0.2">
      <c r="A352" s="14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" customHeight="1" x14ac:dyDescent="0.2">
      <c r="A353" s="14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" customHeight="1" x14ac:dyDescent="0.2">
      <c r="A354" s="14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" customHeight="1" x14ac:dyDescent="0.2">
      <c r="A355" s="14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" customHeight="1" x14ac:dyDescent="0.2">
      <c r="A356" s="14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" customHeight="1" x14ac:dyDescent="0.2">
      <c r="A357" s="14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" customHeight="1" x14ac:dyDescent="0.2">
      <c r="A358" s="14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" customHeight="1" x14ac:dyDescent="0.2">
      <c r="A359" s="14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" customHeight="1" x14ac:dyDescent="0.2">
      <c r="A360" s="14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" customHeight="1" x14ac:dyDescent="0.2">
      <c r="A361" s="14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" customHeight="1" x14ac:dyDescent="0.2">
      <c r="A362" s="14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" customHeight="1" x14ac:dyDescent="0.2">
      <c r="A363" s="14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" customHeight="1" x14ac:dyDescent="0.2">
      <c r="A364" s="14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" customHeight="1" x14ac:dyDescent="0.2">
      <c r="A365" s="14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" customHeight="1" x14ac:dyDescent="0.2">
      <c r="A366" s="14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" customHeight="1" x14ac:dyDescent="0.2">
      <c r="A367" s="14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" customHeight="1" x14ac:dyDescent="0.2">
      <c r="A368" s="14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" customHeight="1" x14ac:dyDescent="0.2">
      <c r="A369" s="14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" customHeight="1" x14ac:dyDescent="0.2">
      <c r="A370" s="14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" customHeight="1" x14ac:dyDescent="0.2">
      <c r="A371" s="14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" customHeight="1" x14ac:dyDescent="0.2">
      <c r="A372" s="14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" customHeight="1" x14ac:dyDescent="0.2">
      <c r="A373" s="14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" customHeight="1" x14ac:dyDescent="0.2">
      <c r="A374" s="14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" customHeight="1" x14ac:dyDescent="0.2">
      <c r="A375" s="14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" customHeight="1" x14ac:dyDescent="0.2">
      <c r="A376" s="14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" customHeight="1" x14ac:dyDescent="0.2">
      <c r="A377" s="14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" customHeight="1" x14ac:dyDescent="0.2">
      <c r="A378" s="14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" customHeight="1" x14ac:dyDescent="0.2">
      <c r="A379" s="14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" customHeight="1" x14ac:dyDescent="0.2">
      <c r="A380" s="14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" customHeight="1" x14ac:dyDescent="0.2">
      <c r="A381" s="14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" customHeight="1" x14ac:dyDescent="0.2">
      <c r="A382" s="14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" customHeight="1" x14ac:dyDescent="0.2">
      <c r="A383" s="14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" customHeight="1" x14ac:dyDescent="0.2">
      <c r="A384" s="14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" customHeight="1" x14ac:dyDescent="0.2">
      <c r="A385" s="14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" customHeight="1" x14ac:dyDescent="0.2">
      <c r="A386" s="14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" customHeight="1" x14ac:dyDescent="0.2">
      <c r="A387" s="14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" customHeight="1" x14ac:dyDescent="0.2">
      <c r="A388" s="14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" customHeight="1" x14ac:dyDescent="0.2">
      <c r="A389" s="14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" customHeight="1" x14ac:dyDescent="0.2">
      <c r="A390" s="14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" customHeight="1" x14ac:dyDescent="0.2">
      <c r="A391" s="14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" customHeight="1" x14ac:dyDescent="0.2">
      <c r="A392" s="14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" customHeight="1" x14ac:dyDescent="0.2">
      <c r="A393" s="14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" customHeight="1" x14ac:dyDescent="0.2">
      <c r="A394" s="14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" customHeight="1" x14ac:dyDescent="0.2">
      <c r="A395" s="14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" customHeight="1" x14ac:dyDescent="0.2">
      <c r="A396" s="14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" customHeight="1" x14ac:dyDescent="0.2">
      <c r="A397" s="14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" customHeight="1" x14ac:dyDescent="0.2">
      <c r="A398" s="14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" customHeight="1" x14ac:dyDescent="0.2">
      <c r="A399" s="14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" customHeight="1" x14ac:dyDescent="0.2">
      <c r="A400" s="14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" customHeight="1" x14ac:dyDescent="0.2">
      <c r="A401" s="14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" customHeight="1" x14ac:dyDescent="0.2">
      <c r="A402" s="14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" customHeight="1" x14ac:dyDescent="0.2">
      <c r="A403" s="14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" customHeight="1" x14ac:dyDescent="0.2">
      <c r="A404" s="14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" customHeight="1" x14ac:dyDescent="0.2">
      <c r="A405" s="14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" customHeight="1" x14ac:dyDescent="0.2">
      <c r="A406" s="14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" customHeight="1" x14ac:dyDescent="0.2">
      <c r="A407" s="14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" customHeight="1" x14ac:dyDescent="0.2">
      <c r="A408" s="14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" customHeight="1" x14ac:dyDescent="0.2">
      <c r="A409" s="14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" customHeight="1" x14ac:dyDescent="0.2">
      <c r="A410" s="14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" customHeight="1" x14ac:dyDescent="0.2">
      <c r="A411" s="14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" customHeight="1" x14ac:dyDescent="0.2">
      <c r="A412" s="14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" customHeight="1" x14ac:dyDescent="0.2">
      <c r="A413" s="14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" customHeight="1" x14ac:dyDescent="0.2">
      <c r="A414" s="14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" customHeight="1" x14ac:dyDescent="0.2">
      <c r="A415" s="14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" customHeight="1" x14ac:dyDescent="0.2">
      <c r="A416" s="14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" customHeight="1" x14ac:dyDescent="0.2">
      <c r="A417" s="14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" customHeight="1" x14ac:dyDescent="0.2">
      <c r="A418" s="14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" customHeight="1" x14ac:dyDescent="0.2">
      <c r="A419" s="14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" customHeight="1" x14ac:dyDescent="0.2">
      <c r="A420" s="14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" customHeight="1" x14ac:dyDescent="0.2">
      <c r="A421" s="14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" customHeight="1" x14ac:dyDescent="0.2">
      <c r="A422" s="14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" customHeight="1" x14ac:dyDescent="0.2">
      <c r="A423" s="14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" customHeight="1" x14ac:dyDescent="0.2">
      <c r="A424" s="14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" customHeight="1" x14ac:dyDescent="0.2">
      <c r="A425" s="14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" customHeight="1" x14ac:dyDescent="0.2">
      <c r="A426" s="14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" customHeight="1" x14ac:dyDescent="0.2">
      <c r="A427" s="14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" customHeight="1" x14ac:dyDescent="0.2">
      <c r="A428" s="14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" customHeight="1" x14ac:dyDescent="0.2">
      <c r="A429" s="14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" customHeight="1" x14ac:dyDescent="0.2">
      <c r="A430" s="14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" customHeight="1" x14ac:dyDescent="0.2">
      <c r="A431" s="14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" customHeight="1" x14ac:dyDescent="0.2">
      <c r="A432" s="14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" customHeight="1" x14ac:dyDescent="0.2">
      <c r="A433" s="14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" customHeight="1" x14ac:dyDescent="0.2">
      <c r="A434" s="14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" customHeight="1" x14ac:dyDescent="0.2">
      <c r="A435" s="14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" customHeight="1" x14ac:dyDescent="0.2">
      <c r="A436" s="14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" customHeight="1" x14ac:dyDescent="0.2">
      <c r="A437" s="14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" customHeight="1" x14ac:dyDescent="0.2">
      <c r="A438" s="14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" customHeight="1" x14ac:dyDescent="0.2">
      <c r="A439" s="14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" customHeight="1" x14ac:dyDescent="0.2">
      <c r="A440" s="14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" customHeight="1" x14ac:dyDescent="0.2">
      <c r="A441" s="14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" customHeight="1" x14ac:dyDescent="0.2">
      <c r="A442" s="14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" customHeight="1" x14ac:dyDescent="0.2">
      <c r="A443" s="14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" customHeight="1" x14ac:dyDescent="0.2">
      <c r="A444" s="14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" customHeight="1" x14ac:dyDescent="0.2">
      <c r="A445" s="14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" customHeight="1" x14ac:dyDescent="0.2">
      <c r="A446" s="14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" customHeight="1" x14ac:dyDescent="0.2">
      <c r="A447" s="14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" customHeight="1" x14ac:dyDescent="0.2">
      <c r="A448" s="14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" customHeight="1" x14ac:dyDescent="0.2">
      <c r="A449" s="14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" customHeight="1" x14ac:dyDescent="0.2">
      <c r="A450" s="14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" customHeight="1" x14ac:dyDescent="0.2">
      <c r="A451" s="14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" customHeight="1" x14ac:dyDescent="0.2">
      <c r="A452" s="14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" customHeight="1" x14ac:dyDescent="0.2">
      <c r="A453" s="14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" customHeight="1" x14ac:dyDescent="0.2">
      <c r="A454" s="14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" customHeight="1" x14ac:dyDescent="0.2">
      <c r="A455" s="14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" customHeight="1" x14ac:dyDescent="0.2">
      <c r="A456" s="14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" customHeight="1" x14ac:dyDescent="0.2">
      <c r="A457" s="14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" customHeight="1" x14ac:dyDescent="0.2">
      <c r="A458" s="14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" customHeight="1" x14ac:dyDescent="0.2">
      <c r="A459" s="14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" customHeight="1" x14ac:dyDescent="0.2">
      <c r="A460" s="14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" customHeight="1" x14ac:dyDescent="0.2">
      <c r="A461" s="14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" customHeight="1" x14ac:dyDescent="0.2">
      <c r="A462" s="14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" customHeight="1" x14ac:dyDescent="0.2">
      <c r="A463" s="14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" customHeight="1" x14ac:dyDescent="0.2">
      <c r="A464" s="14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" customHeight="1" x14ac:dyDescent="0.2">
      <c r="A465" s="14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" customHeight="1" x14ac:dyDescent="0.2">
      <c r="A466" s="14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" customHeight="1" x14ac:dyDescent="0.2">
      <c r="A467" s="14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" customHeight="1" x14ac:dyDescent="0.2">
      <c r="A468" s="14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" customHeight="1" x14ac:dyDescent="0.2">
      <c r="A469" s="14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" customHeight="1" x14ac:dyDescent="0.2">
      <c r="A470" s="14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" customHeight="1" x14ac:dyDescent="0.2">
      <c r="A471" s="14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" customHeight="1" x14ac:dyDescent="0.2">
      <c r="A472" s="14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" customHeight="1" x14ac:dyDescent="0.2">
      <c r="A473" s="14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" customHeight="1" x14ac:dyDescent="0.2">
      <c r="A474" s="14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" customHeight="1" x14ac:dyDescent="0.2">
      <c r="A475" s="14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" customHeight="1" x14ac:dyDescent="0.2">
      <c r="A476" s="14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" customHeight="1" x14ac:dyDescent="0.2">
      <c r="A477" s="14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" customHeight="1" x14ac:dyDescent="0.2">
      <c r="A478" s="14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" customHeight="1" x14ac:dyDescent="0.2">
      <c r="A479" s="14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" customHeight="1" x14ac:dyDescent="0.2">
      <c r="A480" s="14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" customHeight="1" x14ac:dyDescent="0.2">
      <c r="A481" s="14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" customHeight="1" x14ac:dyDescent="0.2">
      <c r="A482" s="14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" customHeight="1" x14ac:dyDescent="0.2">
      <c r="A483" s="14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" customHeight="1" x14ac:dyDescent="0.2">
      <c r="A484" s="14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" customHeight="1" x14ac:dyDescent="0.2">
      <c r="A485" s="14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" customHeight="1" x14ac:dyDescent="0.2">
      <c r="A486" s="14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" customHeight="1" x14ac:dyDescent="0.2">
      <c r="A487" s="14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" customHeight="1" x14ac:dyDescent="0.2">
      <c r="A488" s="14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" customHeight="1" x14ac:dyDescent="0.2">
      <c r="A489" s="14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" customHeight="1" x14ac:dyDescent="0.2">
      <c r="A490" s="14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" customHeight="1" x14ac:dyDescent="0.2">
      <c r="A491" s="14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" customHeight="1" x14ac:dyDescent="0.2">
      <c r="A492" s="14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" customHeight="1" x14ac:dyDescent="0.2">
      <c r="A493" s="14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" customHeight="1" x14ac:dyDescent="0.2">
      <c r="A494" s="14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" customHeight="1" x14ac:dyDescent="0.2">
      <c r="A495" s="14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" customHeight="1" x14ac:dyDescent="0.2">
      <c r="A496" s="14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" customHeight="1" x14ac:dyDescent="0.2">
      <c r="A497" s="14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" customHeight="1" x14ac:dyDescent="0.2">
      <c r="A498" s="14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" customHeight="1" x14ac:dyDescent="0.2">
      <c r="A499" s="14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" customHeight="1" x14ac:dyDescent="0.2">
      <c r="A500" s="14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" customHeight="1" x14ac:dyDescent="0.2">
      <c r="A501" s="14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" customHeight="1" x14ac:dyDescent="0.2">
      <c r="A502" s="14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" customHeight="1" x14ac:dyDescent="0.2">
      <c r="A503" s="14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" customHeight="1" x14ac:dyDescent="0.2">
      <c r="A504" s="14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" customHeight="1" x14ac:dyDescent="0.2">
      <c r="A505" s="14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" customHeight="1" x14ac:dyDescent="0.2">
      <c r="A506" s="14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" customHeight="1" x14ac:dyDescent="0.2">
      <c r="A507" s="14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" customHeight="1" x14ac:dyDescent="0.2">
      <c r="A508" s="14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" customHeight="1" x14ac:dyDescent="0.2">
      <c r="A509" s="14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" customHeight="1" x14ac:dyDescent="0.2">
      <c r="A510" s="14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" customHeight="1" x14ac:dyDescent="0.2">
      <c r="A511" s="14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" customHeight="1" x14ac:dyDescent="0.2">
      <c r="A512" s="14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" customHeight="1" x14ac:dyDescent="0.2">
      <c r="A513" s="14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" customHeight="1" x14ac:dyDescent="0.2">
      <c r="A514" s="14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" customHeight="1" x14ac:dyDescent="0.2">
      <c r="A515" s="14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" customHeight="1" x14ac:dyDescent="0.2">
      <c r="A516" s="14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" customHeight="1" x14ac:dyDescent="0.2">
      <c r="A517" s="14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" customHeight="1" x14ac:dyDescent="0.2">
      <c r="A518" s="14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" customHeight="1" x14ac:dyDescent="0.2">
      <c r="A519" s="14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" customHeight="1" x14ac:dyDescent="0.2">
      <c r="A520" s="14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" customHeight="1" x14ac:dyDescent="0.2">
      <c r="A521" s="14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" customHeight="1" x14ac:dyDescent="0.2">
      <c r="A522" s="14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" customHeight="1" x14ac:dyDescent="0.2">
      <c r="A523" s="14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" customHeight="1" x14ac:dyDescent="0.2">
      <c r="A524" s="14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" customHeight="1" x14ac:dyDescent="0.2">
      <c r="A525" s="14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" customHeight="1" x14ac:dyDescent="0.2">
      <c r="A526" s="14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" customHeight="1" x14ac:dyDescent="0.2">
      <c r="A527" s="14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" customHeight="1" x14ac:dyDescent="0.2">
      <c r="A528" s="14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" customHeight="1" x14ac:dyDescent="0.2">
      <c r="A529" s="14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" customHeight="1" x14ac:dyDescent="0.2">
      <c r="A530" s="14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" customHeight="1" x14ac:dyDescent="0.2">
      <c r="A531" s="14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" customHeight="1" x14ac:dyDescent="0.2">
      <c r="A532" s="14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" customHeight="1" x14ac:dyDescent="0.2">
      <c r="A533" s="14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" customHeight="1" x14ac:dyDescent="0.2">
      <c r="A534" s="14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" customHeight="1" x14ac:dyDescent="0.2">
      <c r="A535" s="14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" customHeight="1" x14ac:dyDescent="0.2">
      <c r="A536" s="14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" customHeight="1" x14ac:dyDescent="0.2">
      <c r="A537" s="14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" customHeight="1" x14ac:dyDescent="0.2">
      <c r="A538" s="14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" customHeight="1" x14ac:dyDescent="0.2">
      <c r="A539" s="14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" customHeight="1" x14ac:dyDescent="0.2">
      <c r="A540" s="14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" customHeight="1" x14ac:dyDescent="0.2">
      <c r="A541" s="14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" customHeight="1" x14ac:dyDescent="0.2">
      <c r="A542" s="14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" customHeight="1" x14ac:dyDescent="0.2">
      <c r="A543" s="14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" customHeight="1" x14ac:dyDescent="0.2">
      <c r="A544" s="14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" customHeight="1" x14ac:dyDescent="0.2">
      <c r="A545" s="14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" customHeight="1" x14ac:dyDescent="0.2">
      <c r="A546" s="14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" customHeight="1" x14ac:dyDescent="0.2">
      <c r="A547" s="14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" customHeight="1" x14ac:dyDescent="0.2">
      <c r="A548" s="14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" customHeight="1" x14ac:dyDescent="0.2">
      <c r="A549" s="14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" customHeight="1" x14ac:dyDescent="0.2">
      <c r="A550" s="14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" customHeight="1" x14ac:dyDescent="0.2">
      <c r="A551" s="14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" customHeight="1" x14ac:dyDescent="0.2">
      <c r="A552" s="14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" customHeight="1" x14ac:dyDescent="0.2">
      <c r="A553" s="14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" customHeight="1" x14ac:dyDescent="0.2">
      <c r="A554" s="14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" customHeight="1" x14ac:dyDescent="0.2">
      <c r="A555" s="14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" customHeight="1" x14ac:dyDescent="0.2">
      <c r="A556" s="14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" customHeight="1" x14ac:dyDescent="0.2">
      <c r="A557" s="14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" customHeight="1" x14ac:dyDescent="0.2">
      <c r="A558" s="14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" customHeight="1" x14ac:dyDescent="0.2">
      <c r="A559" s="14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" customHeight="1" x14ac:dyDescent="0.2">
      <c r="A560" s="14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" customHeight="1" x14ac:dyDescent="0.2">
      <c r="A561" s="14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" customHeight="1" x14ac:dyDescent="0.2">
      <c r="A562" s="14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" customHeight="1" x14ac:dyDescent="0.2">
      <c r="A563" s="14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" customHeight="1" x14ac:dyDescent="0.2">
      <c r="A564" s="14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" customHeight="1" x14ac:dyDescent="0.2">
      <c r="A565" s="14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" customHeight="1" x14ac:dyDescent="0.2">
      <c r="A566" s="14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" customHeight="1" x14ac:dyDescent="0.2">
      <c r="A567" s="14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" customHeight="1" x14ac:dyDescent="0.2">
      <c r="A568" s="14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" customHeight="1" x14ac:dyDescent="0.2">
      <c r="A569" s="14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" customHeight="1" x14ac:dyDescent="0.2">
      <c r="A570" s="14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" customHeight="1" x14ac:dyDescent="0.2">
      <c r="A571" s="14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" customHeight="1" x14ac:dyDescent="0.2">
      <c r="A572" s="14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" customHeight="1" x14ac:dyDescent="0.2">
      <c r="A573" s="14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" customHeight="1" x14ac:dyDescent="0.2">
      <c r="A574" s="14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" customHeight="1" x14ac:dyDescent="0.2">
      <c r="A575" s="14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" customHeight="1" x14ac:dyDescent="0.2">
      <c r="A576" s="14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" customHeight="1" x14ac:dyDescent="0.2">
      <c r="A577" s="14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" customHeight="1" x14ac:dyDescent="0.2">
      <c r="A578" s="14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" customHeight="1" x14ac:dyDescent="0.2">
      <c r="A579" s="14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" customHeight="1" x14ac:dyDescent="0.2">
      <c r="A580" s="14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" customHeight="1" x14ac:dyDescent="0.2">
      <c r="A581" s="14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" customHeight="1" x14ac:dyDescent="0.2">
      <c r="A582" s="14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" customHeight="1" x14ac:dyDescent="0.2">
      <c r="A583" s="14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" customHeight="1" x14ac:dyDescent="0.2">
      <c r="A584" s="14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" customHeight="1" x14ac:dyDescent="0.2">
      <c r="A585" s="14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" customHeight="1" x14ac:dyDescent="0.2">
      <c r="A586" s="14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" customHeight="1" x14ac:dyDescent="0.2">
      <c r="A587" s="14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" customHeight="1" x14ac:dyDescent="0.2">
      <c r="A588" s="14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" customHeight="1" x14ac:dyDescent="0.2">
      <c r="A589" s="14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" customHeight="1" x14ac:dyDescent="0.2">
      <c r="A590" s="14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" customHeight="1" x14ac:dyDescent="0.2">
      <c r="A591" s="14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" customHeight="1" x14ac:dyDescent="0.2">
      <c r="A592" s="14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" customHeight="1" x14ac:dyDescent="0.2">
      <c r="A593" s="14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" customHeight="1" x14ac:dyDescent="0.2">
      <c r="A594" s="14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" customHeight="1" x14ac:dyDescent="0.2">
      <c r="A595" s="14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" customHeight="1" x14ac:dyDescent="0.2">
      <c r="A596" s="14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" customHeight="1" x14ac:dyDescent="0.2">
      <c r="A597" s="14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" customHeight="1" x14ac:dyDescent="0.2">
      <c r="A598" s="14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" customHeight="1" x14ac:dyDescent="0.2">
      <c r="A599" s="14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" customHeight="1" x14ac:dyDescent="0.2">
      <c r="A600" s="14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" customHeight="1" x14ac:dyDescent="0.2">
      <c r="A601" s="14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" customHeight="1" x14ac:dyDescent="0.2">
      <c r="A602" s="14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" customHeight="1" x14ac:dyDescent="0.2">
      <c r="A603" s="14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" customHeight="1" x14ac:dyDescent="0.2">
      <c r="A604" s="14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" customHeight="1" x14ac:dyDescent="0.2">
      <c r="A605" s="14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" customHeight="1" x14ac:dyDescent="0.2">
      <c r="A606" s="14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" customHeight="1" x14ac:dyDescent="0.2">
      <c r="A607" s="14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" customHeight="1" x14ac:dyDescent="0.2">
      <c r="A608" s="14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" customHeight="1" x14ac:dyDescent="0.2">
      <c r="A609" s="14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" customHeight="1" x14ac:dyDescent="0.2">
      <c r="A610" s="14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" customHeight="1" x14ac:dyDescent="0.2">
      <c r="A611" s="14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" customHeight="1" x14ac:dyDescent="0.2">
      <c r="A612" s="14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" customHeight="1" x14ac:dyDescent="0.2">
      <c r="A613" s="14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" customHeight="1" x14ac:dyDescent="0.2">
      <c r="A614" s="14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" customHeight="1" x14ac:dyDescent="0.2">
      <c r="A615" s="14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" customHeight="1" x14ac:dyDescent="0.2">
      <c r="A616" s="14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" customHeight="1" x14ac:dyDescent="0.2">
      <c r="A617" s="14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" customHeight="1" x14ac:dyDescent="0.2">
      <c r="A618" s="14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" customHeight="1" x14ac:dyDescent="0.2">
      <c r="A619" s="14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" customHeight="1" x14ac:dyDescent="0.2">
      <c r="A620" s="14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" customHeight="1" x14ac:dyDescent="0.2">
      <c r="A621" s="14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" customHeight="1" x14ac:dyDescent="0.2">
      <c r="A622" s="14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" customHeight="1" x14ac:dyDescent="0.2">
      <c r="A623" s="14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" customHeight="1" x14ac:dyDescent="0.2">
      <c r="A624" s="14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" customHeight="1" x14ac:dyDescent="0.2">
      <c r="A625" s="14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" customHeight="1" x14ac:dyDescent="0.2">
      <c r="A626" s="14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" customHeight="1" x14ac:dyDescent="0.2">
      <c r="A627" s="14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" customHeight="1" x14ac:dyDescent="0.2">
      <c r="A628" s="14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" customHeight="1" x14ac:dyDescent="0.2">
      <c r="A629" s="14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" customHeight="1" x14ac:dyDescent="0.2">
      <c r="A630" s="14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" customHeight="1" x14ac:dyDescent="0.2">
      <c r="A631" s="14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" customHeight="1" x14ac:dyDescent="0.2">
      <c r="A632" s="14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" customHeight="1" x14ac:dyDescent="0.2">
      <c r="A633" s="14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" customHeight="1" x14ac:dyDescent="0.2">
      <c r="A634" s="14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" customHeight="1" x14ac:dyDescent="0.2">
      <c r="A635" s="14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" customHeight="1" x14ac:dyDescent="0.2">
      <c r="A636" s="14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" customHeight="1" x14ac:dyDescent="0.2">
      <c r="A637" s="14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" customHeight="1" x14ac:dyDescent="0.2">
      <c r="A638" s="14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" customHeight="1" x14ac:dyDescent="0.2">
      <c r="A639" s="14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" customHeight="1" x14ac:dyDescent="0.2">
      <c r="A640" s="14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" customHeight="1" x14ac:dyDescent="0.2">
      <c r="A641" s="14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" customHeight="1" x14ac:dyDescent="0.2">
      <c r="A642" s="14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" customHeight="1" x14ac:dyDescent="0.2">
      <c r="A643" s="14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" customHeight="1" x14ac:dyDescent="0.2">
      <c r="A644" s="14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" customHeight="1" x14ac:dyDescent="0.2">
      <c r="A645" s="14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" customHeight="1" x14ac:dyDescent="0.2">
      <c r="A646" s="14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" customHeight="1" x14ac:dyDescent="0.2">
      <c r="A647" s="14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" customHeight="1" x14ac:dyDescent="0.2">
      <c r="A648" s="14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" customHeight="1" x14ac:dyDescent="0.2">
      <c r="A649" s="14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" customHeight="1" x14ac:dyDescent="0.2">
      <c r="A650" s="14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" customHeight="1" x14ac:dyDescent="0.2">
      <c r="A651" s="14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" customHeight="1" x14ac:dyDescent="0.2">
      <c r="A652" s="14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" customHeight="1" x14ac:dyDescent="0.2">
      <c r="A653" s="14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" customHeight="1" x14ac:dyDescent="0.2">
      <c r="A654" s="14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" customHeight="1" x14ac:dyDescent="0.2">
      <c r="A655" s="14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" customHeight="1" x14ac:dyDescent="0.2">
      <c r="A656" s="14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" customHeight="1" x14ac:dyDescent="0.2">
      <c r="A657" s="14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" customHeight="1" x14ac:dyDescent="0.2">
      <c r="A658" s="14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" customHeight="1" x14ac:dyDescent="0.2">
      <c r="A659" s="14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" customHeight="1" x14ac:dyDescent="0.2">
      <c r="A660" s="14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" customHeight="1" x14ac:dyDescent="0.2">
      <c r="A661" s="14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" customHeight="1" x14ac:dyDescent="0.2">
      <c r="A662" s="14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" customHeight="1" x14ac:dyDescent="0.2">
      <c r="A663" s="14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" customHeight="1" x14ac:dyDescent="0.2">
      <c r="A664" s="14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" customHeight="1" x14ac:dyDescent="0.2">
      <c r="A665" s="14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" customHeight="1" x14ac:dyDescent="0.2">
      <c r="A666" s="14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" customHeight="1" x14ac:dyDescent="0.2">
      <c r="A667" s="14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" customHeight="1" x14ac:dyDescent="0.2">
      <c r="A668" s="14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" customHeight="1" x14ac:dyDescent="0.2">
      <c r="A669" s="14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" customHeight="1" x14ac:dyDescent="0.2">
      <c r="A670" s="14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" customHeight="1" x14ac:dyDescent="0.2">
      <c r="A671" s="14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" customHeight="1" x14ac:dyDescent="0.2">
      <c r="A672" s="14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" customHeight="1" x14ac:dyDescent="0.2">
      <c r="A673" s="14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" customHeight="1" x14ac:dyDescent="0.2">
      <c r="A674" s="14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" customHeight="1" x14ac:dyDescent="0.2">
      <c r="A675" s="14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" customHeight="1" x14ac:dyDescent="0.2">
      <c r="A676" s="14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" customHeight="1" x14ac:dyDescent="0.2">
      <c r="A677" s="14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" customHeight="1" x14ac:dyDescent="0.2">
      <c r="A678" s="14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" customHeight="1" x14ac:dyDescent="0.2">
      <c r="A679" s="14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" customHeight="1" x14ac:dyDescent="0.2">
      <c r="A680" s="14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" customHeight="1" x14ac:dyDescent="0.2">
      <c r="A681" s="14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" customHeight="1" x14ac:dyDescent="0.2">
      <c r="A682" s="14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" customHeight="1" x14ac:dyDescent="0.2">
      <c r="A683" s="14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" customHeight="1" x14ac:dyDescent="0.2">
      <c r="A684" s="14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" customHeight="1" x14ac:dyDescent="0.2">
      <c r="A685" s="14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" customHeight="1" x14ac:dyDescent="0.2">
      <c r="A686" s="14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" customHeight="1" x14ac:dyDescent="0.2">
      <c r="A687" s="14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" customHeight="1" x14ac:dyDescent="0.2">
      <c r="A688" s="14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" customHeight="1" x14ac:dyDescent="0.2">
      <c r="A689" s="14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" customHeight="1" x14ac:dyDescent="0.2">
      <c r="A690" s="14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" customHeight="1" x14ac:dyDescent="0.2">
      <c r="A691" s="14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" customHeight="1" x14ac:dyDescent="0.2">
      <c r="A692" s="14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" customHeight="1" x14ac:dyDescent="0.2">
      <c r="A693" s="14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" customHeight="1" x14ac:dyDescent="0.2">
      <c r="A694" s="14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" customHeight="1" x14ac:dyDescent="0.2">
      <c r="A695" s="14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" customHeight="1" x14ac:dyDescent="0.2">
      <c r="A696" s="14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" customHeight="1" x14ac:dyDescent="0.2">
      <c r="A697" s="14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" customHeight="1" x14ac:dyDescent="0.2">
      <c r="A698" s="14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" customHeight="1" x14ac:dyDescent="0.2">
      <c r="A699" s="14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" customHeight="1" x14ac:dyDescent="0.2">
      <c r="A700" s="14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" customHeight="1" x14ac:dyDescent="0.2">
      <c r="A701" s="14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" customHeight="1" x14ac:dyDescent="0.2">
      <c r="A702" s="14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" customHeight="1" x14ac:dyDescent="0.2">
      <c r="A703" s="14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" customHeight="1" x14ac:dyDescent="0.2">
      <c r="A704" s="14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" customHeight="1" x14ac:dyDescent="0.2">
      <c r="A705" s="14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" customHeight="1" x14ac:dyDescent="0.2">
      <c r="A706" s="14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" customHeight="1" x14ac:dyDescent="0.2">
      <c r="A707" s="14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" customHeight="1" x14ac:dyDescent="0.2">
      <c r="A708" s="14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" customHeight="1" x14ac:dyDescent="0.2">
      <c r="A709" s="14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" customHeight="1" x14ac:dyDescent="0.2">
      <c r="A710" s="14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" customHeight="1" x14ac:dyDescent="0.2">
      <c r="A711" s="14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" customHeight="1" x14ac:dyDescent="0.2">
      <c r="A712" s="14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" customHeight="1" x14ac:dyDescent="0.2">
      <c r="A713" s="14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" customHeight="1" x14ac:dyDescent="0.2">
      <c r="A714" s="14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" customHeight="1" x14ac:dyDescent="0.2">
      <c r="A715" s="14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" customHeight="1" x14ac:dyDescent="0.2">
      <c r="A716" s="14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" customHeight="1" x14ac:dyDescent="0.2">
      <c r="A717" s="14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" customHeight="1" x14ac:dyDescent="0.2">
      <c r="A718" s="14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" customHeight="1" x14ac:dyDescent="0.2">
      <c r="A719" s="14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" customHeight="1" x14ac:dyDescent="0.2">
      <c r="A720" s="14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" customHeight="1" x14ac:dyDescent="0.2">
      <c r="A721" s="14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" customHeight="1" x14ac:dyDescent="0.2">
      <c r="A722" s="14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" customHeight="1" x14ac:dyDescent="0.2">
      <c r="A723" s="14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" customHeight="1" x14ac:dyDescent="0.2">
      <c r="A724" s="14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" customHeight="1" x14ac:dyDescent="0.2">
      <c r="A725" s="14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" customHeight="1" x14ac:dyDescent="0.2">
      <c r="A726" s="14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" customHeight="1" x14ac:dyDescent="0.2">
      <c r="A727" s="14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" customHeight="1" x14ac:dyDescent="0.2">
      <c r="A728" s="14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" customHeight="1" x14ac:dyDescent="0.2">
      <c r="A729" s="14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" customHeight="1" x14ac:dyDescent="0.2">
      <c r="A730" s="14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" customHeight="1" x14ac:dyDescent="0.2">
      <c r="A731" s="14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" customHeight="1" x14ac:dyDescent="0.2">
      <c r="A732" s="14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" customHeight="1" x14ac:dyDescent="0.2">
      <c r="A733" s="14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" customHeight="1" x14ac:dyDescent="0.2">
      <c r="A734" s="14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" customHeight="1" x14ac:dyDescent="0.2">
      <c r="A735" s="14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" customHeight="1" x14ac:dyDescent="0.2">
      <c r="A736" s="14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" customHeight="1" x14ac:dyDescent="0.2">
      <c r="A737" s="14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" customHeight="1" x14ac:dyDescent="0.2">
      <c r="A738" s="14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" customHeight="1" x14ac:dyDescent="0.2">
      <c r="A739" s="14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" customHeight="1" x14ac:dyDescent="0.2">
      <c r="A740" s="14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" customHeight="1" x14ac:dyDescent="0.2">
      <c r="A741" s="14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" customHeight="1" x14ac:dyDescent="0.2">
      <c r="A742" s="14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" customHeight="1" x14ac:dyDescent="0.2">
      <c r="A743" s="14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" customHeight="1" x14ac:dyDescent="0.2">
      <c r="A744" s="14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" customHeight="1" x14ac:dyDescent="0.2">
      <c r="A745" s="14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" customHeight="1" x14ac:dyDescent="0.2">
      <c r="A746" s="14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" customHeight="1" x14ac:dyDescent="0.2">
      <c r="A747" s="14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" customHeight="1" x14ac:dyDescent="0.2">
      <c r="A748" s="14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" customHeight="1" x14ac:dyDescent="0.2">
      <c r="A749" s="14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" customHeight="1" x14ac:dyDescent="0.2">
      <c r="A750" s="14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" customHeight="1" x14ac:dyDescent="0.2">
      <c r="A751" s="14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" customHeight="1" x14ac:dyDescent="0.2">
      <c r="A752" s="14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" customHeight="1" x14ac:dyDescent="0.2">
      <c r="A753" s="14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" customHeight="1" x14ac:dyDescent="0.2">
      <c r="A754" s="14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" customHeight="1" x14ac:dyDescent="0.2">
      <c r="A755" s="14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" customHeight="1" x14ac:dyDescent="0.2">
      <c r="A756" s="14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" customHeight="1" x14ac:dyDescent="0.2">
      <c r="A757" s="14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" customHeight="1" x14ac:dyDescent="0.2">
      <c r="A758" s="14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" customHeight="1" x14ac:dyDescent="0.2">
      <c r="A759" s="14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" customHeight="1" x14ac:dyDescent="0.2">
      <c r="A760" s="14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" customHeight="1" x14ac:dyDescent="0.2">
      <c r="A761" s="14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" customHeight="1" x14ac:dyDescent="0.2">
      <c r="A762" s="14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" customHeight="1" x14ac:dyDescent="0.2">
      <c r="A763" s="14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" customHeight="1" x14ac:dyDescent="0.2">
      <c r="A764" s="14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" customHeight="1" x14ac:dyDescent="0.2">
      <c r="A765" s="14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" customHeight="1" x14ac:dyDescent="0.2">
      <c r="A766" s="14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" customHeight="1" x14ac:dyDescent="0.2">
      <c r="A767" s="14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" customHeight="1" x14ac:dyDescent="0.2">
      <c r="A768" s="14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" customHeight="1" x14ac:dyDescent="0.2">
      <c r="A769" s="14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" customHeight="1" x14ac:dyDescent="0.2">
      <c r="A770" s="14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" customHeight="1" x14ac:dyDescent="0.2">
      <c r="A771" s="14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" customHeight="1" x14ac:dyDescent="0.2">
      <c r="A772" s="14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" customHeight="1" x14ac:dyDescent="0.2">
      <c r="A773" s="14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" customHeight="1" x14ac:dyDescent="0.2">
      <c r="A774" s="14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" customHeight="1" x14ac:dyDescent="0.2">
      <c r="A775" s="14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" customHeight="1" x14ac:dyDescent="0.2">
      <c r="A776" s="14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" customHeight="1" x14ac:dyDescent="0.2">
      <c r="A777" s="14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" customHeight="1" x14ac:dyDescent="0.2">
      <c r="A778" s="14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" customHeight="1" x14ac:dyDescent="0.2">
      <c r="A779" s="14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" customHeight="1" x14ac:dyDescent="0.2">
      <c r="A780" s="14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" customHeight="1" x14ac:dyDescent="0.2">
      <c r="A781" s="14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" customHeight="1" x14ac:dyDescent="0.2">
      <c r="A782" s="14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" customHeight="1" x14ac:dyDescent="0.2">
      <c r="A783" s="14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" customHeight="1" x14ac:dyDescent="0.2">
      <c r="A784" s="14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" customHeight="1" x14ac:dyDescent="0.2">
      <c r="A785" s="14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" customHeight="1" x14ac:dyDescent="0.2">
      <c r="A786" s="14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" customHeight="1" x14ac:dyDescent="0.2">
      <c r="A787" s="14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" customHeight="1" x14ac:dyDescent="0.2">
      <c r="A788" s="14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" customHeight="1" x14ac:dyDescent="0.2">
      <c r="A789" s="14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" customHeight="1" x14ac:dyDescent="0.2">
      <c r="A790" s="14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" customHeight="1" x14ac:dyDescent="0.2">
      <c r="A791" s="14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" customHeight="1" x14ac:dyDescent="0.2">
      <c r="A792" s="14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" customHeight="1" x14ac:dyDescent="0.2">
      <c r="A793" s="14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" customHeight="1" x14ac:dyDescent="0.2">
      <c r="A794" s="14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" customHeight="1" x14ac:dyDescent="0.2">
      <c r="A795" s="14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" customHeight="1" x14ac:dyDescent="0.2">
      <c r="A796" s="14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" customHeight="1" x14ac:dyDescent="0.2">
      <c r="A797" s="14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" customHeight="1" x14ac:dyDescent="0.2">
      <c r="A798" s="14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" customHeight="1" x14ac:dyDescent="0.2">
      <c r="A799" s="14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" customHeight="1" x14ac:dyDescent="0.2">
      <c r="A800" s="14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" customHeight="1" x14ac:dyDescent="0.2">
      <c r="A801" s="14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" customHeight="1" x14ac:dyDescent="0.2">
      <c r="A802" s="14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" customHeight="1" x14ac:dyDescent="0.2">
      <c r="A803" s="14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" customHeight="1" x14ac:dyDescent="0.2">
      <c r="A804" s="14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" customHeight="1" x14ac:dyDescent="0.2">
      <c r="A805" s="14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" customHeight="1" x14ac:dyDescent="0.2">
      <c r="A806" s="14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" customHeight="1" x14ac:dyDescent="0.2">
      <c r="A807" s="14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" customHeight="1" x14ac:dyDescent="0.2">
      <c r="A808" s="14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" customHeight="1" x14ac:dyDescent="0.2">
      <c r="A809" s="14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" customHeight="1" x14ac:dyDescent="0.2">
      <c r="A810" s="14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" customHeight="1" x14ac:dyDescent="0.2">
      <c r="A811" s="14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" customHeight="1" x14ac:dyDescent="0.2">
      <c r="A812" s="14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" customHeight="1" x14ac:dyDescent="0.2">
      <c r="A813" s="14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" customHeight="1" x14ac:dyDescent="0.2">
      <c r="A814" s="14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" customHeight="1" x14ac:dyDescent="0.2">
      <c r="A815" s="14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" customHeight="1" x14ac:dyDescent="0.2">
      <c r="A816" s="14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" customHeight="1" x14ac:dyDescent="0.2">
      <c r="A817" s="14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" customHeight="1" x14ac:dyDescent="0.2">
      <c r="A818" s="14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" customHeight="1" x14ac:dyDescent="0.2">
      <c r="A819" s="14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" customHeight="1" x14ac:dyDescent="0.2">
      <c r="A820" s="14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" customHeight="1" x14ac:dyDescent="0.2">
      <c r="A821" s="14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" customHeight="1" x14ac:dyDescent="0.2">
      <c r="A822" s="14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" customHeight="1" x14ac:dyDescent="0.2">
      <c r="A823" s="14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" customHeight="1" x14ac:dyDescent="0.2">
      <c r="A824" s="14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" customHeight="1" x14ac:dyDescent="0.2">
      <c r="A825" s="14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" customHeight="1" x14ac:dyDescent="0.2">
      <c r="A826" s="14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" customHeight="1" x14ac:dyDescent="0.2">
      <c r="A827" s="14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" customHeight="1" x14ac:dyDescent="0.2">
      <c r="A828" s="14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" customHeight="1" x14ac:dyDescent="0.2">
      <c r="A829" s="14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" customHeight="1" x14ac:dyDescent="0.2">
      <c r="A830" s="14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" customHeight="1" x14ac:dyDescent="0.2">
      <c r="A831" s="14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" customHeight="1" x14ac:dyDescent="0.2">
      <c r="A832" s="14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" customHeight="1" x14ac:dyDescent="0.2">
      <c r="A833" s="14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" customHeight="1" x14ac:dyDescent="0.2">
      <c r="A834" s="14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" customHeight="1" x14ac:dyDescent="0.2">
      <c r="A835" s="14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" customHeight="1" x14ac:dyDescent="0.2">
      <c r="A836" s="14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" customHeight="1" x14ac:dyDescent="0.2">
      <c r="A837" s="14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" customHeight="1" x14ac:dyDescent="0.2">
      <c r="A838" s="14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" customHeight="1" x14ac:dyDescent="0.2">
      <c r="A839" s="14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" customHeight="1" x14ac:dyDescent="0.2">
      <c r="A840" s="14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" customHeight="1" x14ac:dyDescent="0.2">
      <c r="A841" s="14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" customHeight="1" x14ac:dyDescent="0.2">
      <c r="A842" s="14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" customHeight="1" x14ac:dyDescent="0.2">
      <c r="A843" s="14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" customHeight="1" x14ac:dyDescent="0.2">
      <c r="A844" s="14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" customHeight="1" x14ac:dyDescent="0.2">
      <c r="A845" s="14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" customHeight="1" x14ac:dyDescent="0.2">
      <c r="A846" s="14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" customHeight="1" x14ac:dyDescent="0.2">
      <c r="A847" s="14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" customHeight="1" x14ac:dyDescent="0.2">
      <c r="A848" s="14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" customHeight="1" x14ac:dyDescent="0.2">
      <c r="A849" s="14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" customHeight="1" x14ac:dyDescent="0.2">
      <c r="A850" s="14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" customHeight="1" x14ac:dyDescent="0.2">
      <c r="A851" s="14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" customHeight="1" x14ac:dyDescent="0.2">
      <c r="A852" s="14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" customHeight="1" x14ac:dyDescent="0.2">
      <c r="A853" s="14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" customHeight="1" x14ac:dyDescent="0.2">
      <c r="A854" s="14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" customHeight="1" x14ac:dyDescent="0.2">
      <c r="A855" s="14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" customHeight="1" x14ac:dyDescent="0.2">
      <c r="A856" s="14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" customHeight="1" x14ac:dyDescent="0.2">
      <c r="A857" s="14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" customHeight="1" x14ac:dyDescent="0.2">
      <c r="A858" s="14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" customHeight="1" x14ac:dyDescent="0.2">
      <c r="A859" s="14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" customHeight="1" x14ac:dyDescent="0.2">
      <c r="A860" s="14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" customHeight="1" x14ac:dyDescent="0.2">
      <c r="A861" s="14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" customHeight="1" x14ac:dyDescent="0.2">
      <c r="A862" s="14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" customHeight="1" x14ac:dyDescent="0.2">
      <c r="A863" s="14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" customHeight="1" x14ac:dyDescent="0.2">
      <c r="A864" s="14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" customHeight="1" x14ac:dyDescent="0.2">
      <c r="A865" s="14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" customHeight="1" x14ac:dyDescent="0.2">
      <c r="A866" s="14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" customHeight="1" x14ac:dyDescent="0.2">
      <c r="A867" s="14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" customHeight="1" x14ac:dyDescent="0.2">
      <c r="A868" s="14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" customHeight="1" x14ac:dyDescent="0.2">
      <c r="A869" s="14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" customHeight="1" x14ac:dyDescent="0.2">
      <c r="A870" s="14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" customHeight="1" x14ac:dyDescent="0.2">
      <c r="A871" s="14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" customHeight="1" x14ac:dyDescent="0.2">
      <c r="A872" s="14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" customHeight="1" x14ac:dyDescent="0.2">
      <c r="A873" s="14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" customHeight="1" x14ac:dyDescent="0.2">
      <c r="A874" s="14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" customHeight="1" x14ac:dyDescent="0.2">
      <c r="A875" s="14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" customHeight="1" x14ac:dyDescent="0.2">
      <c r="A876" s="14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" customHeight="1" x14ac:dyDescent="0.2">
      <c r="A877" s="14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" customHeight="1" x14ac:dyDescent="0.2">
      <c r="A878" s="14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" customHeight="1" x14ac:dyDescent="0.2">
      <c r="A879" s="14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" customHeight="1" x14ac:dyDescent="0.2">
      <c r="A880" s="14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" customHeight="1" x14ac:dyDescent="0.2">
      <c r="A881" s="14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" customHeight="1" x14ac:dyDescent="0.2">
      <c r="A882" s="14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" customHeight="1" x14ac:dyDescent="0.2">
      <c r="A883" s="14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" customHeight="1" x14ac:dyDescent="0.2">
      <c r="A884" s="14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" customHeight="1" x14ac:dyDescent="0.2">
      <c r="A885" s="14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" customHeight="1" x14ac:dyDescent="0.2">
      <c r="A886" s="14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" customHeight="1" x14ac:dyDescent="0.2">
      <c r="A887" s="14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" customHeight="1" x14ac:dyDescent="0.2">
      <c r="A888" s="14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" customHeight="1" x14ac:dyDescent="0.2">
      <c r="A889" s="14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" customHeight="1" x14ac:dyDescent="0.2">
      <c r="A890" s="14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" customHeight="1" x14ac:dyDescent="0.2">
      <c r="A891" s="14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" customHeight="1" x14ac:dyDescent="0.2">
      <c r="A892" s="14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" customHeight="1" x14ac:dyDescent="0.2">
      <c r="A893" s="14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" customHeight="1" x14ac:dyDescent="0.2">
      <c r="A894" s="14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" customHeight="1" x14ac:dyDescent="0.2">
      <c r="A895" s="14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" customHeight="1" x14ac:dyDescent="0.2">
      <c r="A896" s="14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" customHeight="1" x14ac:dyDescent="0.2">
      <c r="A897" s="14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" customHeight="1" x14ac:dyDescent="0.2">
      <c r="A898" s="14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" customHeight="1" x14ac:dyDescent="0.2">
      <c r="A899" s="14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" customHeight="1" x14ac:dyDescent="0.2">
      <c r="A900" s="14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" customHeight="1" x14ac:dyDescent="0.2">
      <c r="A901" s="14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" customHeight="1" x14ac:dyDescent="0.2">
      <c r="A902" s="14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" customHeight="1" x14ac:dyDescent="0.2">
      <c r="A903" s="14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" customHeight="1" x14ac:dyDescent="0.2">
      <c r="A904" s="14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" customHeight="1" x14ac:dyDescent="0.2">
      <c r="A905" s="14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" customHeight="1" x14ac:dyDescent="0.2">
      <c r="A906" s="14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" customHeight="1" x14ac:dyDescent="0.2">
      <c r="A907" s="14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" customHeight="1" x14ac:dyDescent="0.2">
      <c r="A908" s="14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" customHeight="1" x14ac:dyDescent="0.2">
      <c r="A909" s="14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" customHeight="1" x14ac:dyDescent="0.2">
      <c r="A910" s="14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" customHeight="1" x14ac:dyDescent="0.2">
      <c r="A911" s="14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" customHeight="1" x14ac:dyDescent="0.2">
      <c r="A912" s="14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" customHeight="1" x14ac:dyDescent="0.2">
      <c r="A913" s="14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" customHeight="1" x14ac:dyDescent="0.2">
      <c r="A914" s="14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" customHeight="1" x14ac:dyDescent="0.2">
      <c r="A915" s="14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" customHeight="1" x14ac:dyDescent="0.2">
      <c r="A916" s="14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" customHeight="1" x14ac:dyDescent="0.2">
      <c r="A917" s="14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" customHeight="1" x14ac:dyDescent="0.2">
      <c r="A918" s="14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" customHeight="1" x14ac:dyDescent="0.2">
      <c r="A919" s="14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" customHeight="1" x14ac:dyDescent="0.2">
      <c r="A920" s="14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" customHeight="1" x14ac:dyDescent="0.2">
      <c r="A921" s="14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" customHeight="1" x14ac:dyDescent="0.2">
      <c r="A922" s="14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" customHeight="1" x14ac:dyDescent="0.2">
      <c r="A923" s="14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" customHeight="1" x14ac:dyDescent="0.2">
      <c r="A924" s="14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" customHeight="1" x14ac:dyDescent="0.2">
      <c r="A925" s="14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" customHeight="1" x14ac:dyDescent="0.2">
      <c r="A926" s="14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" customHeight="1" x14ac:dyDescent="0.2">
      <c r="A927" s="14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" customHeight="1" x14ac:dyDescent="0.2">
      <c r="A928" s="14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" customHeight="1" x14ac:dyDescent="0.2">
      <c r="A929" s="14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" customHeight="1" x14ac:dyDescent="0.2">
      <c r="A930" s="14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" customHeight="1" x14ac:dyDescent="0.2">
      <c r="A931" s="14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" customHeight="1" x14ac:dyDescent="0.2">
      <c r="A932" s="14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" customHeight="1" x14ac:dyDescent="0.2">
      <c r="A933" s="14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" customHeight="1" x14ac:dyDescent="0.2">
      <c r="A934" s="14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" customHeight="1" x14ac:dyDescent="0.2">
      <c r="A935" s="14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" customHeight="1" x14ac:dyDescent="0.2">
      <c r="A936" s="14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" customHeight="1" x14ac:dyDescent="0.2">
      <c r="A937" s="14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" customHeight="1" x14ac:dyDescent="0.2">
      <c r="A938" s="14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" customHeight="1" x14ac:dyDescent="0.2">
      <c r="A939" s="14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" customHeight="1" x14ac:dyDescent="0.2">
      <c r="A940" s="14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" customHeight="1" x14ac:dyDescent="0.2">
      <c r="A941" s="14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" customHeight="1" x14ac:dyDescent="0.2">
      <c r="A942" s="14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" customHeight="1" x14ac:dyDescent="0.2">
      <c r="A943" s="14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" customHeight="1" x14ac:dyDescent="0.2">
      <c r="A944" s="14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" customHeight="1" x14ac:dyDescent="0.2">
      <c r="A945" s="14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" customHeight="1" x14ac:dyDescent="0.2">
      <c r="A946" s="14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" customHeight="1" x14ac:dyDescent="0.2">
      <c r="A947" s="14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" customHeight="1" x14ac:dyDescent="0.2">
      <c r="A948" s="14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" customHeight="1" x14ac:dyDescent="0.2">
      <c r="A949" s="14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" customHeight="1" x14ac:dyDescent="0.2">
      <c r="A950" s="14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" customHeight="1" x14ac:dyDescent="0.2">
      <c r="A951" s="14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" customHeight="1" x14ac:dyDescent="0.2">
      <c r="A952" s="14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" customHeight="1" x14ac:dyDescent="0.2">
      <c r="A953" s="14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" customHeight="1" x14ac:dyDescent="0.2">
      <c r="A954" s="14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" customHeight="1" x14ac:dyDescent="0.2">
      <c r="A955" s="14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" customHeight="1" x14ac:dyDescent="0.2">
      <c r="A956" s="14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" customHeight="1" x14ac:dyDescent="0.2">
      <c r="A957" s="14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" customHeight="1" x14ac:dyDescent="0.2">
      <c r="A958" s="14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" customHeight="1" x14ac:dyDescent="0.2">
      <c r="A959" s="14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" customHeight="1" x14ac:dyDescent="0.2">
      <c r="A960" s="14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" customHeight="1" x14ac:dyDescent="0.2">
      <c r="A961" s="14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" customHeight="1" x14ac:dyDescent="0.2">
      <c r="A962" s="14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" customHeight="1" x14ac:dyDescent="0.2">
      <c r="A963" s="14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" customHeight="1" x14ac:dyDescent="0.2">
      <c r="A964" s="14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" customHeight="1" x14ac:dyDescent="0.2">
      <c r="A965" s="14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" customHeight="1" x14ac:dyDescent="0.2">
      <c r="A966" s="14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" customHeight="1" x14ac:dyDescent="0.2">
      <c r="A967" s="14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" customHeight="1" x14ac:dyDescent="0.2">
      <c r="A968" s="14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" customHeight="1" x14ac:dyDescent="0.2">
      <c r="A969" s="14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" customHeight="1" x14ac:dyDescent="0.2">
      <c r="A970" s="14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" customHeight="1" x14ac:dyDescent="0.2">
      <c r="A971" s="14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" customHeight="1" x14ac:dyDescent="0.2">
      <c r="A972" s="14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" customHeight="1" x14ac:dyDescent="0.2">
      <c r="A973" s="14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" customHeight="1" x14ac:dyDescent="0.2">
      <c r="A974" s="14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" customHeight="1" x14ac:dyDescent="0.2">
      <c r="A975" s="14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" customHeight="1" x14ac:dyDescent="0.2">
      <c r="A976" s="14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" customHeight="1" x14ac:dyDescent="0.2">
      <c r="A977" s="14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" customHeight="1" x14ac:dyDescent="0.2">
      <c r="A978" s="14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" customHeight="1" x14ac:dyDescent="0.2">
      <c r="A979" s="14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" customHeight="1" x14ac:dyDescent="0.2">
      <c r="A980" s="14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" customHeight="1" x14ac:dyDescent="0.2">
      <c r="A981" s="14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" customHeight="1" x14ac:dyDescent="0.2">
      <c r="A982" s="14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" customHeight="1" x14ac:dyDescent="0.2">
      <c r="A983" s="14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" customHeight="1" x14ac:dyDescent="0.2">
      <c r="A984" s="14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" customHeight="1" x14ac:dyDescent="0.2">
      <c r="A985" s="14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" customHeight="1" x14ac:dyDescent="0.2">
      <c r="A986" s="14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" customHeight="1" x14ac:dyDescent="0.2">
      <c r="A987" s="14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" customHeight="1" x14ac:dyDescent="0.2">
      <c r="A988" s="14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" customHeight="1" x14ac:dyDescent="0.2">
      <c r="A989" s="14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" customHeight="1" x14ac:dyDescent="0.2">
      <c r="A990" s="14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" customHeight="1" x14ac:dyDescent="0.2">
      <c r="A991" s="14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" customHeight="1" x14ac:dyDescent="0.2">
      <c r="A992" s="14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" customHeight="1" x14ac:dyDescent="0.2">
      <c r="A993" s="14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" customHeight="1" x14ac:dyDescent="0.2">
      <c r="A994" s="14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" customHeight="1" x14ac:dyDescent="0.2">
      <c r="A995" s="14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" customHeight="1" x14ac:dyDescent="0.2">
      <c r="A996" s="14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" customHeight="1" x14ac:dyDescent="0.2">
      <c r="A997" s="14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" customHeight="1" x14ac:dyDescent="0.2">
      <c r="A998" s="14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" customHeight="1" x14ac:dyDescent="0.2">
      <c r="A999" s="14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" customHeight="1" x14ac:dyDescent="0.2">
      <c r="A1000" s="14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000"/>
  <sheetViews>
    <sheetView workbookViewId="0"/>
  </sheetViews>
  <sheetFormatPr defaultColWidth="12.5703125" defaultRowHeight="15" customHeight="1" x14ac:dyDescent="0.2"/>
  <cols>
    <col min="1" max="1" width="15.28515625" customWidth="1"/>
    <col min="2" max="2" width="9.5703125" customWidth="1"/>
    <col min="3" max="4" width="10.7109375" hidden="1" customWidth="1"/>
    <col min="5" max="6" width="10" hidden="1" customWidth="1"/>
    <col min="7" max="7" width="9.5703125" customWidth="1"/>
    <col min="8" max="11" width="9.42578125" hidden="1" customWidth="1"/>
    <col min="12" max="12" width="9.5703125" customWidth="1"/>
    <col min="13" max="13" width="9.42578125" hidden="1" customWidth="1"/>
    <col min="14" max="15" width="9.5703125" hidden="1" customWidth="1"/>
    <col min="16" max="16" width="9.7109375" hidden="1" customWidth="1"/>
    <col min="17" max="17" width="9.5703125" customWidth="1"/>
    <col min="18" max="21" width="9.42578125" hidden="1" customWidth="1"/>
    <col min="22" max="22" width="9.5703125" customWidth="1"/>
    <col min="23" max="26" width="9.42578125" hidden="1" customWidth="1"/>
    <col min="27" max="27" width="9.5703125" customWidth="1"/>
    <col min="28" max="30" width="9.42578125" hidden="1" customWidth="1"/>
    <col min="31" max="31" width="11.42578125" hidden="1" customWidth="1"/>
    <col min="32" max="32" width="9.5703125" customWidth="1"/>
    <col min="33" max="35" width="9.42578125" hidden="1" customWidth="1"/>
    <col min="36" max="36" width="11.42578125" hidden="1" customWidth="1"/>
    <col min="37" max="37" width="12.85546875" customWidth="1"/>
    <col min="38" max="40" width="9.42578125" hidden="1" customWidth="1"/>
    <col min="41" max="41" width="10.42578125" hidden="1" customWidth="1"/>
    <col min="42" max="42" width="9.5703125" customWidth="1"/>
    <col min="43" max="46" width="9.42578125" hidden="1" customWidth="1"/>
    <col min="47" max="47" width="12.85546875" customWidth="1"/>
    <col min="48" max="51" width="9.42578125" hidden="1" customWidth="1"/>
    <col min="52" max="52" width="9.5703125" customWidth="1"/>
    <col min="53" max="55" width="9.42578125" hidden="1" customWidth="1"/>
    <col min="56" max="56" width="11.42578125" hidden="1" customWidth="1"/>
  </cols>
  <sheetData>
    <row r="1" spans="1:56" ht="12.75" customHeight="1" x14ac:dyDescent="0.2">
      <c r="A1" s="22"/>
      <c r="B1" s="23" t="s">
        <v>34</v>
      </c>
      <c r="C1" s="24" t="s">
        <v>70</v>
      </c>
      <c r="D1" s="24" t="s">
        <v>71</v>
      </c>
      <c r="E1" s="24" t="s">
        <v>72</v>
      </c>
      <c r="F1" s="24" t="s">
        <v>73</v>
      </c>
      <c r="G1" s="23" t="s">
        <v>36</v>
      </c>
      <c r="H1" s="24" t="s">
        <v>70</v>
      </c>
      <c r="I1" s="24" t="s">
        <v>71</v>
      </c>
      <c r="J1" s="24" t="s">
        <v>72</v>
      </c>
      <c r="K1" s="24" t="s">
        <v>73</v>
      </c>
      <c r="L1" s="23" t="s">
        <v>38</v>
      </c>
      <c r="M1" s="24" t="s">
        <v>70</v>
      </c>
      <c r="N1" s="24" t="s">
        <v>71</v>
      </c>
      <c r="O1" s="24" t="s">
        <v>72</v>
      </c>
      <c r="P1" s="24" t="s">
        <v>73</v>
      </c>
      <c r="Q1" s="23" t="s">
        <v>40</v>
      </c>
      <c r="R1" s="24" t="s">
        <v>70</v>
      </c>
      <c r="S1" s="24" t="s">
        <v>71</v>
      </c>
      <c r="T1" s="24" t="s">
        <v>72</v>
      </c>
      <c r="U1" s="24" t="s">
        <v>73</v>
      </c>
      <c r="V1" s="23" t="s">
        <v>42</v>
      </c>
      <c r="W1" s="24" t="s">
        <v>70</v>
      </c>
      <c r="X1" s="24" t="s">
        <v>71</v>
      </c>
      <c r="Y1" s="24" t="s">
        <v>72</v>
      </c>
      <c r="Z1" s="24" t="s">
        <v>73</v>
      </c>
      <c r="AA1" s="23" t="s">
        <v>44</v>
      </c>
      <c r="AB1" s="24" t="s">
        <v>70</v>
      </c>
      <c r="AC1" s="24" t="s">
        <v>71</v>
      </c>
      <c r="AD1" s="24" t="s">
        <v>72</v>
      </c>
      <c r="AE1" s="24" t="s">
        <v>73</v>
      </c>
      <c r="AF1" s="23" t="s">
        <v>46</v>
      </c>
      <c r="AG1" s="24" t="s">
        <v>70</v>
      </c>
      <c r="AH1" s="24" t="s">
        <v>71</v>
      </c>
      <c r="AI1" s="24" t="s">
        <v>72</v>
      </c>
      <c r="AJ1" s="24" t="s">
        <v>73</v>
      </c>
      <c r="AK1" s="23" t="s">
        <v>48</v>
      </c>
      <c r="AL1" s="24" t="s">
        <v>70</v>
      </c>
      <c r="AM1" s="24" t="s">
        <v>71</v>
      </c>
      <c r="AN1" s="24" t="s">
        <v>72</v>
      </c>
      <c r="AO1" s="24" t="s">
        <v>73</v>
      </c>
      <c r="AP1" s="23" t="s">
        <v>50</v>
      </c>
      <c r="AQ1" s="24" t="s">
        <v>70</v>
      </c>
      <c r="AR1" s="24" t="s">
        <v>71</v>
      </c>
      <c r="AS1" s="24" t="s">
        <v>72</v>
      </c>
      <c r="AT1" s="24" t="s">
        <v>73</v>
      </c>
      <c r="AU1" s="23" t="s">
        <v>52</v>
      </c>
      <c r="AV1" s="24" t="s">
        <v>70</v>
      </c>
      <c r="AW1" s="24" t="s">
        <v>71</v>
      </c>
      <c r="AX1" s="24" t="s">
        <v>72</v>
      </c>
      <c r="AY1" s="24" t="s">
        <v>73</v>
      </c>
      <c r="AZ1" s="23" t="s">
        <v>54</v>
      </c>
      <c r="BA1" s="24" t="s">
        <v>70</v>
      </c>
      <c r="BB1" s="24" t="s">
        <v>71</v>
      </c>
      <c r="BC1" s="24" t="s">
        <v>72</v>
      </c>
      <c r="BD1" s="24" t="s">
        <v>73</v>
      </c>
    </row>
    <row r="2" spans="1:56" ht="12.75" hidden="1" customHeight="1" x14ac:dyDescent="0.2">
      <c r="A2" s="25" t="s">
        <v>1</v>
      </c>
      <c r="B2" s="26">
        <v>46</v>
      </c>
      <c r="C2" s="26">
        <f t="shared" ref="C2:C33" si="0">B2-$B$35</f>
        <v>1.265625</v>
      </c>
      <c r="D2" s="26">
        <f t="shared" ref="D2:D33" si="1">C2^2</f>
        <v>1.601806640625</v>
      </c>
      <c r="E2" s="26">
        <f t="shared" ref="E2:E33" si="2">C2^3</f>
        <v>2.0272865295410156</v>
      </c>
      <c r="F2" s="26">
        <f t="shared" ref="F2:F33" si="3">C2^4</f>
        <v>2.5657845139503479</v>
      </c>
      <c r="G2" s="26">
        <v>46</v>
      </c>
      <c r="H2" s="26">
        <f t="shared" ref="H2:H33" si="4">G2-$B$35</f>
        <v>1.265625</v>
      </c>
      <c r="I2" s="26">
        <f t="shared" ref="I2:I33" si="5">H2^2</f>
        <v>1.601806640625</v>
      </c>
      <c r="J2" s="26">
        <f t="shared" ref="J2:J33" si="6">H2^3</f>
        <v>2.0272865295410156</v>
      </c>
      <c r="K2" s="26">
        <f t="shared" ref="K2:K33" si="7">H2^4</f>
        <v>2.5657845139503479</v>
      </c>
      <c r="L2" s="26">
        <v>57</v>
      </c>
      <c r="M2" s="26">
        <f t="shared" ref="M2:M33" si="8">L2-$B$35</f>
        <v>12.265625</v>
      </c>
      <c r="N2" s="26">
        <f t="shared" ref="N2:N33" si="9">M2^2</f>
        <v>150.445556640625</v>
      </c>
      <c r="O2" s="26">
        <f t="shared" ref="O2:O33" si="10">M2^3</f>
        <v>1845.308780670166</v>
      </c>
      <c r="P2" s="26">
        <f t="shared" ref="P2:P33" si="11">M2^4</f>
        <v>22633.865512907505</v>
      </c>
      <c r="Q2" s="26">
        <v>42</v>
      </c>
      <c r="R2" s="26">
        <f t="shared" ref="R2:R33" si="12">Q2-$B$35</f>
        <v>-2.734375</v>
      </c>
      <c r="S2" s="26">
        <f t="shared" ref="S2:S33" si="13">R2^2</f>
        <v>7.476806640625</v>
      </c>
      <c r="T2" s="26">
        <f t="shared" ref="T2:T33" si="14">R2^3</f>
        <v>-20.444393157958984</v>
      </c>
      <c r="U2" s="26">
        <f t="shared" ref="U2:U33" si="15">R2^4</f>
        <v>55.902637541294098</v>
      </c>
      <c r="V2" s="26">
        <v>64</v>
      </c>
      <c r="W2" s="26">
        <f t="shared" ref="W2:W33" si="16">V2-$B$35</f>
        <v>19.265625</v>
      </c>
      <c r="X2" s="26">
        <f t="shared" ref="X2:X33" si="17">W2^2</f>
        <v>371.164306640625</v>
      </c>
      <c r="Y2" s="26">
        <f t="shared" ref="Y2:Y33" si="18">W2^3</f>
        <v>7150.712345123291</v>
      </c>
      <c r="Z2" s="26">
        <f t="shared" ref="Z2:Z33" si="19">W2^4</f>
        <v>137762.9425240159</v>
      </c>
      <c r="AA2" s="26">
        <v>123.5</v>
      </c>
      <c r="AB2" s="26">
        <f t="shared" ref="AB2:AB33" si="20">AA2-$B$35</f>
        <v>78.765625</v>
      </c>
      <c r="AC2" s="26">
        <f t="shared" ref="AC2:AC33" si="21">AB2^2</f>
        <v>6204.023681640625</v>
      </c>
      <c r="AD2" s="26">
        <f t="shared" ref="AD2:AD33" si="22">AB2^3</f>
        <v>488663.80279922485</v>
      </c>
      <c r="AE2" s="26">
        <f t="shared" ref="AE2:AE33" si="23">AB2^4</f>
        <v>38489909.842357695</v>
      </c>
      <c r="AF2" s="26">
        <v>135.5</v>
      </c>
      <c r="AG2" s="26">
        <f t="shared" ref="AG2:AG33" si="24">AF2-$B$35</f>
        <v>90.765625</v>
      </c>
      <c r="AH2" s="26">
        <f t="shared" ref="AH2:AH33" si="25">AG2^2</f>
        <v>8238.398681640625</v>
      </c>
      <c r="AI2" s="26">
        <f t="shared" ref="AI2:AI33" si="26">AG2^3</f>
        <v>747763.40533828735</v>
      </c>
      <c r="AJ2" s="26">
        <f t="shared" ref="AJ2:AJ33" si="27">AG2^4</f>
        <v>67871212.837657988</v>
      </c>
      <c r="AK2" s="26">
        <v>17</v>
      </c>
      <c r="AL2" s="26">
        <f t="shared" ref="AL2:AL33" si="28">AK2-$B$35</f>
        <v>-27.734375</v>
      </c>
      <c r="AM2" s="26">
        <f t="shared" ref="AM2:AM33" si="29">AL2^2</f>
        <v>769.195556640625</v>
      </c>
      <c r="AN2" s="26">
        <f t="shared" ref="AN2:AN33" si="30">AL2^3</f>
        <v>-21333.158016204834</v>
      </c>
      <c r="AO2" s="26">
        <f t="shared" ref="AO2:AO33" si="31">AL2^4</f>
        <v>591661.80435568094</v>
      </c>
      <c r="AP2" s="26">
        <v>58</v>
      </c>
      <c r="AQ2" s="26">
        <f t="shared" ref="AQ2:AQ33" si="32">AP2-$B$35</f>
        <v>13.265625</v>
      </c>
      <c r="AR2" s="26">
        <f t="shared" ref="AR2:AR33" si="33">AQ2^2</f>
        <v>175.976806640625</v>
      </c>
      <c r="AS2" s="26">
        <f t="shared" ref="AS2:AS33" si="34">AQ2^3</f>
        <v>2334.442325592041</v>
      </c>
      <c r="AT2" s="26">
        <f t="shared" ref="AT2:AT33" si="35">AQ2^4</f>
        <v>30967.836475431919</v>
      </c>
      <c r="AU2" s="26">
        <v>27</v>
      </c>
      <c r="AV2" s="26">
        <f t="shared" ref="AV2:AV33" si="36">AU2-$B$35</f>
        <v>-17.734375</v>
      </c>
      <c r="AW2" s="26">
        <f t="shared" ref="AW2:AW33" si="37">AV2^2</f>
        <v>314.508056640625</v>
      </c>
      <c r="AX2" s="26">
        <f t="shared" ref="AX2:AX33" si="38">AV2^3</f>
        <v>-5577.603816986084</v>
      </c>
      <c r="AY2" s="26">
        <f t="shared" ref="AY2:AY33" si="39">AV2^4</f>
        <v>98915.317691862583</v>
      </c>
      <c r="AZ2" s="26">
        <v>102</v>
      </c>
      <c r="BA2" s="26">
        <f t="shared" ref="BA2:BA33" si="40">AZ2-$B$35</f>
        <v>57.265625</v>
      </c>
      <c r="BB2" s="26">
        <f t="shared" ref="BB2:BB33" si="41">BA2^2</f>
        <v>3279.351806640625</v>
      </c>
      <c r="BC2" s="26">
        <f t="shared" ref="BC2:BC33" si="42">BA2^3</f>
        <v>187794.13080215454</v>
      </c>
      <c r="BD2" s="26">
        <f t="shared" ref="BD2:BD33" si="43">BA2^4</f>
        <v>10754148.271717131</v>
      </c>
    </row>
    <row r="3" spans="1:56" ht="12.75" hidden="1" customHeight="1" x14ac:dyDescent="0.2">
      <c r="A3" s="25" t="s">
        <v>2</v>
      </c>
      <c r="B3" s="26">
        <v>45</v>
      </c>
      <c r="C3" s="26">
        <f t="shared" si="0"/>
        <v>0.265625</v>
      </c>
      <c r="D3" s="26">
        <f t="shared" si="1"/>
        <v>7.0556640625E-2</v>
      </c>
      <c r="E3" s="26">
        <f t="shared" si="2"/>
        <v>1.8741607666015625E-2</v>
      </c>
      <c r="F3" s="26">
        <f t="shared" si="3"/>
        <v>4.9782395362854004E-3</v>
      </c>
      <c r="G3" s="26">
        <v>46</v>
      </c>
      <c r="H3" s="26">
        <f t="shared" si="4"/>
        <v>1.265625</v>
      </c>
      <c r="I3" s="26">
        <f t="shared" si="5"/>
        <v>1.601806640625</v>
      </c>
      <c r="J3" s="26">
        <f t="shared" si="6"/>
        <v>2.0272865295410156</v>
      </c>
      <c r="K3" s="26">
        <f t="shared" si="7"/>
        <v>2.5657845139503479</v>
      </c>
      <c r="L3" s="26">
        <v>56</v>
      </c>
      <c r="M3" s="26">
        <f t="shared" si="8"/>
        <v>11.265625</v>
      </c>
      <c r="N3" s="26">
        <f t="shared" si="9"/>
        <v>126.914306640625</v>
      </c>
      <c r="O3" s="26">
        <f t="shared" si="10"/>
        <v>1429.768985748291</v>
      </c>
      <c r="P3" s="26">
        <f t="shared" si="11"/>
        <v>16107.241230070591</v>
      </c>
      <c r="Q3" s="26">
        <v>40</v>
      </c>
      <c r="R3" s="26">
        <f t="shared" si="12"/>
        <v>-4.734375</v>
      </c>
      <c r="S3" s="26">
        <f t="shared" si="13"/>
        <v>22.414306640625</v>
      </c>
      <c r="T3" s="26">
        <f t="shared" si="14"/>
        <v>-106.11773300170898</v>
      </c>
      <c r="U3" s="26">
        <f t="shared" si="15"/>
        <v>502.40114217996597</v>
      </c>
      <c r="V3" s="26">
        <v>67</v>
      </c>
      <c r="W3" s="26">
        <f t="shared" si="16"/>
        <v>22.265625</v>
      </c>
      <c r="X3" s="26">
        <f t="shared" si="17"/>
        <v>495.758056640625</v>
      </c>
      <c r="Y3" s="26">
        <f t="shared" si="18"/>
        <v>11038.362979888916</v>
      </c>
      <c r="Z3" s="26">
        <f t="shared" si="19"/>
        <v>245776.05072408915</v>
      </c>
      <c r="AA3" s="26">
        <v>125</v>
      </c>
      <c r="AB3" s="26">
        <f t="shared" si="20"/>
        <v>80.265625</v>
      </c>
      <c r="AC3" s="26">
        <f t="shared" si="21"/>
        <v>6442.570556640625</v>
      </c>
      <c r="AD3" s="26">
        <f t="shared" si="22"/>
        <v>517116.95233535767</v>
      </c>
      <c r="AE3" s="26">
        <f t="shared" si="23"/>
        <v>41506715.377292693</v>
      </c>
      <c r="AF3" s="26">
        <v>135</v>
      </c>
      <c r="AG3" s="26">
        <f t="shared" si="24"/>
        <v>90.265625</v>
      </c>
      <c r="AH3" s="26">
        <f t="shared" si="25"/>
        <v>8147.883056640625</v>
      </c>
      <c r="AI3" s="26">
        <f t="shared" si="26"/>
        <v>735473.75653457642</v>
      </c>
      <c r="AJ3" s="26">
        <f t="shared" si="27"/>
        <v>66387998.304691374</v>
      </c>
      <c r="AK3" s="26">
        <v>15</v>
      </c>
      <c r="AL3" s="26">
        <f t="shared" si="28"/>
        <v>-29.734375</v>
      </c>
      <c r="AM3" s="26">
        <f t="shared" si="29"/>
        <v>884.133056640625</v>
      </c>
      <c r="AN3" s="26">
        <f t="shared" si="30"/>
        <v>-26289.143856048584</v>
      </c>
      <c r="AO3" s="26">
        <f t="shared" si="31"/>
        <v>781691.26184469461</v>
      </c>
      <c r="AP3" s="26">
        <v>53.5</v>
      </c>
      <c r="AQ3" s="26">
        <f t="shared" si="32"/>
        <v>8.765625</v>
      </c>
      <c r="AR3" s="26">
        <f t="shared" si="33"/>
        <v>76.836181640625</v>
      </c>
      <c r="AS3" s="26">
        <f t="shared" si="34"/>
        <v>673.51715469360352</v>
      </c>
      <c r="AT3" s="26">
        <f t="shared" si="35"/>
        <v>5903.7988091111183</v>
      </c>
      <c r="AU3" s="26">
        <v>30</v>
      </c>
      <c r="AV3" s="26">
        <f t="shared" si="36"/>
        <v>-14.734375</v>
      </c>
      <c r="AW3" s="26">
        <f t="shared" si="37"/>
        <v>217.101806640625</v>
      </c>
      <c r="AX3" s="26">
        <f t="shared" si="38"/>
        <v>-3198.859432220459</v>
      </c>
      <c r="AY3" s="26">
        <f t="shared" si="39"/>
        <v>47133.194446623325</v>
      </c>
      <c r="AZ3" s="26">
        <v>102</v>
      </c>
      <c r="BA3" s="26">
        <f t="shared" si="40"/>
        <v>57.265625</v>
      </c>
      <c r="BB3" s="26">
        <f t="shared" si="41"/>
        <v>3279.351806640625</v>
      </c>
      <c r="BC3" s="26">
        <f t="shared" si="42"/>
        <v>187794.13080215454</v>
      </c>
      <c r="BD3" s="26">
        <f t="shared" si="43"/>
        <v>10754148.271717131</v>
      </c>
    </row>
    <row r="4" spans="1:56" ht="12.75" hidden="1" customHeight="1" x14ac:dyDescent="0.2">
      <c r="A4" s="25" t="s">
        <v>3</v>
      </c>
      <c r="B4" s="26">
        <v>43</v>
      </c>
      <c r="C4" s="26">
        <f t="shared" si="0"/>
        <v>-1.734375</v>
      </c>
      <c r="D4" s="26">
        <f t="shared" si="1"/>
        <v>3.008056640625</v>
      </c>
      <c r="E4" s="26">
        <f t="shared" si="2"/>
        <v>-5.2170982360839844</v>
      </c>
      <c r="F4" s="26">
        <f t="shared" si="3"/>
        <v>9.0484047532081604</v>
      </c>
      <c r="G4" s="26">
        <v>41.5</v>
      </c>
      <c r="H4" s="26">
        <f t="shared" si="4"/>
        <v>-3.234375</v>
      </c>
      <c r="I4" s="26">
        <f t="shared" si="5"/>
        <v>10.461181640625</v>
      </c>
      <c r="J4" s="26">
        <f t="shared" si="6"/>
        <v>-33.835384368896484</v>
      </c>
      <c r="K4" s="26">
        <f t="shared" si="7"/>
        <v>109.43632131814957</v>
      </c>
      <c r="L4" s="26">
        <v>48</v>
      </c>
      <c r="M4" s="26">
        <f t="shared" si="8"/>
        <v>3.265625</v>
      </c>
      <c r="N4" s="26">
        <f t="shared" si="9"/>
        <v>10.664306640625</v>
      </c>
      <c r="O4" s="26">
        <f t="shared" si="10"/>
        <v>34.825626373291016</v>
      </c>
      <c r="P4" s="26">
        <f t="shared" si="11"/>
        <v>113.72743612527847</v>
      </c>
      <c r="Q4" s="26">
        <v>39</v>
      </c>
      <c r="R4" s="26">
        <f t="shared" si="12"/>
        <v>-5.734375</v>
      </c>
      <c r="S4" s="26">
        <f t="shared" si="13"/>
        <v>32.883056640625</v>
      </c>
      <c r="T4" s="26">
        <f t="shared" si="14"/>
        <v>-188.56377792358398</v>
      </c>
      <c r="U4" s="26">
        <f t="shared" si="15"/>
        <v>1081.2954140305519</v>
      </c>
      <c r="V4" s="26">
        <v>55</v>
      </c>
      <c r="W4" s="26">
        <f t="shared" si="16"/>
        <v>10.265625</v>
      </c>
      <c r="X4" s="26">
        <f t="shared" si="17"/>
        <v>105.383056640625</v>
      </c>
      <c r="Y4" s="26">
        <f t="shared" si="18"/>
        <v>1081.822940826416</v>
      </c>
      <c r="Z4" s="26">
        <f t="shared" si="19"/>
        <v>11105.588626921177</v>
      </c>
      <c r="AA4" s="26">
        <f>43+71</f>
        <v>114</v>
      </c>
      <c r="AB4" s="26">
        <f t="shared" si="20"/>
        <v>69.265625</v>
      </c>
      <c r="AC4" s="26">
        <f t="shared" si="21"/>
        <v>4797.726806640625</v>
      </c>
      <c r="AD4" s="26">
        <f t="shared" si="22"/>
        <v>332317.54584121704</v>
      </c>
      <c r="AE4" s="26">
        <f t="shared" si="23"/>
        <v>23018182.511158049</v>
      </c>
      <c r="AF4" s="26">
        <f>43+81</f>
        <v>124</v>
      </c>
      <c r="AG4" s="26">
        <f t="shared" si="24"/>
        <v>79.265625</v>
      </c>
      <c r="AH4" s="26">
        <f t="shared" si="25"/>
        <v>6283.039306640625</v>
      </c>
      <c r="AI4" s="26">
        <f t="shared" si="26"/>
        <v>498029.03754043579</v>
      </c>
      <c r="AJ4" s="26">
        <f t="shared" si="27"/>
        <v>39476582.928791106</v>
      </c>
      <c r="AK4" s="26">
        <v>18</v>
      </c>
      <c r="AL4" s="26">
        <f t="shared" si="28"/>
        <v>-26.734375</v>
      </c>
      <c r="AM4" s="26">
        <f t="shared" si="29"/>
        <v>714.726806640625</v>
      </c>
      <c r="AN4" s="26">
        <f t="shared" si="30"/>
        <v>-19107.774471282959</v>
      </c>
      <c r="AO4" s="26">
        <f t="shared" si="31"/>
        <v>510834.40813070536</v>
      </c>
      <c r="AP4" s="26">
        <v>51</v>
      </c>
      <c r="AQ4" s="26">
        <f t="shared" si="32"/>
        <v>6.265625</v>
      </c>
      <c r="AR4" s="26">
        <f t="shared" si="33"/>
        <v>39.258056640625</v>
      </c>
      <c r="AS4" s="26">
        <f t="shared" si="34"/>
        <v>245.97626113891602</v>
      </c>
      <c r="AT4" s="26">
        <f t="shared" si="35"/>
        <v>1541.1950111985207</v>
      </c>
      <c r="AU4" s="26">
        <v>19</v>
      </c>
      <c r="AV4" s="26">
        <f t="shared" si="36"/>
        <v>-25.734375</v>
      </c>
      <c r="AW4" s="26">
        <f t="shared" si="37"/>
        <v>662.258056640625</v>
      </c>
      <c r="AX4" s="26">
        <f t="shared" si="38"/>
        <v>-17042.797176361084</v>
      </c>
      <c r="AY4" s="26">
        <f t="shared" si="39"/>
        <v>438585.73358541727</v>
      </c>
      <c r="AZ4" s="26">
        <v>107</v>
      </c>
      <c r="BA4" s="26">
        <f t="shared" si="40"/>
        <v>62.265625</v>
      </c>
      <c r="BB4" s="26">
        <f t="shared" si="41"/>
        <v>3877.008056640625</v>
      </c>
      <c r="BC4" s="26">
        <f t="shared" si="42"/>
        <v>241404.32977676392</v>
      </c>
      <c r="BD4" s="26">
        <f t="shared" si="43"/>
        <v>15031191.471256316</v>
      </c>
    </row>
    <row r="5" spans="1:56" ht="12.75" hidden="1" customHeight="1" x14ac:dyDescent="0.2">
      <c r="A5" s="25" t="s">
        <v>4</v>
      </c>
      <c r="B5" s="26">
        <v>44</v>
      </c>
      <c r="C5" s="26">
        <f t="shared" si="0"/>
        <v>-0.734375</v>
      </c>
      <c r="D5" s="26">
        <f t="shared" si="1"/>
        <v>0.539306640625</v>
      </c>
      <c r="E5" s="26">
        <f t="shared" si="2"/>
        <v>-0.39605331420898438</v>
      </c>
      <c r="F5" s="26">
        <f t="shared" si="3"/>
        <v>0.2908516526222229</v>
      </c>
      <c r="G5" s="26">
        <v>46.5</v>
      </c>
      <c r="H5" s="26">
        <f t="shared" si="4"/>
        <v>1.765625</v>
      </c>
      <c r="I5" s="26">
        <f t="shared" si="5"/>
        <v>3.117431640625</v>
      </c>
      <c r="J5" s="26">
        <f t="shared" si="6"/>
        <v>5.5042152404785156</v>
      </c>
      <c r="K5" s="26">
        <f t="shared" si="7"/>
        <v>9.7183800339698792</v>
      </c>
      <c r="L5" s="26">
        <v>47</v>
      </c>
      <c r="M5" s="26">
        <f t="shared" si="8"/>
        <v>2.265625</v>
      </c>
      <c r="N5" s="26">
        <f t="shared" si="9"/>
        <v>5.133056640625</v>
      </c>
      <c r="O5" s="26">
        <f t="shared" si="10"/>
        <v>11.629581451416016</v>
      </c>
      <c r="P5" s="26">
        <f t="shared" si="11"/>
        <v>26.34827047586441</v>
      </c>
      <c r="Q5" s="26">
        <v>42</v>
      </c>
      <c r="R5" s="26">
        <f t="shared" si="12"/>
        <v>-2.734375</v>
      </c>
      <c r="S5" s="26">
        <f t="shared" si="13"/>
        <v>7.476806640625</v>
      </c>
      <c r="T5" s="26">
        <f t="shared" si="14"/>
        <v>-20.444393157958984</v>
      </c>
      <c r="U5" s="26">
        <f t="shared" si="15"/>
        <v>55.902637541294098</v>
      </c>
      <c r="V5" s="26">
        <v>54.5</v>
      </c>
      <c r="W5" s="26">
        <f t="shared" si="16"/>
        <v>9.765625</v>
      </c>
      <c r="X5" s="26">
        <f t="shared" si="17"/>
        <v>95.367431640625</v>
      </c>
      <c r="Y5" s="26">
        <f t="shared" si="18"/>
        <v>931.32257461547852</v>
      </c>
      <c r="Z5" s="26">
        <f t="shared" si="19"/>
        <v>9094.9470177292824</v>
      </c>
      <c r="AA5" s="26">
        <f>43+69</f>
        <v>112</v>
      </c>
      <c r="AB5" s="26">
        <f t="shared" si="20"/>
        <v>67.265625</v>
      </c>
      <c r="AC5" s="26">
        <f t="shared" si="21"/>
        <v>4524.664306640625</v>
      </c>
      <c r="AD5" s="26">
        <f t="shared" si="22"/>
        <v>304354.37250137329</v>
      </c>
      <c r="AE5" s="26">
        <f t="shared" si="23"/>
        <v>20472587.087787688</v>
      </c>
      <c r="AF5" s="26">
        <f>43+78</f>
        <v>121</v>
      </c>
      <c r="AG5" s="26">
        <f t="shared" si="24"/>
        <v>76.265625</v>
      </c>
      <c r="AH5" s="26">
        <f t="shared" si="25"/>
        <v>5816.445556640625</v>
      </c>
      <c r="AI5" s="26">
        <f t="shared" si="26"/>
        <v>443594.85565567017</v>
      </c>
      <c r="AJ5" s="26">
        <f t="shared" si="27"/>
        <v>33831038.91336447</v>
      </c>
      <c r="AK5" s="26">
        <v>15</v>
      </c>
      <c r="AL5" s="26">
        <f t="shared" si="28"/>
        <v>-29.734375</v>
      </c>
      <c r="AM5" s="26">
        <f t="shared" si="29"/>
        <v>884.133056640625</v>
      </c>
      <c r="AN5" s="26">
        <f t="shared" si="30"/>
        <v>-26289.143856048584</v>
      </c>
      <c r="AO5" s="26">
        <f t="shared" si="31"/>
        <v>781691.26184469461</v>
      </c>
      <c r="AP5" s="26">
        <v>54</v>
      </c>
      <c r="AQ5" s="26">
        <f t="shared" si="32"/>
        <v>9.265625</v>
      </c>
      <c r="AR5" s="26">
        <f t="shared" si="33"/>
        <v>85.851806640625</v>
      </c>
      <c r="AS5" s="26">
        <f t="shared" si="34"/>
        <v>795.47064590454102</v>
      </c>
      <c r="AT5" s="26">
        <f t="shared" si="35"/>
        <v>7370.5327034592628</v>
      </c>
      <c r="AU5" s="26">
        <v>21</v>
      </c>
      <c r="AV5" s="26">
        <f t="shared" si="36"/>
        <v>-23.734375</v>
      </c>
      <c r="AW5" s="26">
        <f t="shared" si="37"/>
        <v>563.320556640625</v>
      </c>
      <c r="AX5" s="26">
        <f t="shared" si="38"/>
        <v>-13370.061336517334</v>
      </c>
      <c r="AY5" s="26">
        <f t="shared" si="39"/>
        <v>317330.0495339036</v>
      </c>
      <c r="AZ5" s="26">
        <v>107</v>
      </c>
      <c r="BA5" s="26">
        <f t="shared" si="40"/>
        <v>62.265625</v>
      </c>
      <c r="BB5" s="26">
        <f t="shared" si="41"/>
        <v>3877.008056640625</v>
      </c>
      <c r="BC5" s="26">
        <f t="shared" si="42"/>
        <v>241404.32977676392</v>
      </c>
      <c r="BD5" s="26">
        <f t="shared" si="43"/>
        <v>15031191.471256316</v>
      </c>
    </row>
    <row r="6" spans="1:56" ht="12.75" hidden="1" customHeight="1" x14ac:dyDescent="0.2">
      <c r="A6" s="25" t="s">
        <v>5</v>
      </c>
      <c r="B6" s="26">
        <v>42.5</v>
      </c>
      <c r="C6" s="26">
        <f t="shared" si="0"/>
        <v>-2.234375</v>
      </c>
      <c r="D6" s="26">
        <f t="shared" si="1"/>
        <v>4.992431640625</v>
      </c>
      <c r="E6" s="26">
        <f t="shared" si="2"/>
        <v>-11.154964447021484</v>
      </c>
      <c r="F6" s="26">
        <f t="shared" si="3"/>
        <v>24.924373686313629</v>
      </c>
      <c r="G6" s="26">
        <v>48</v>
      </c>
      <c r="H6" s="26">
        <f t="shared" si="4"/>
        <v>3.265625</v>
      </c>
      <c r="I6" s="26">
        <f t="shared" si="5"/>
        <v>10.664306640625</v>
      </c>
      <c r="J6" s="26">
        <f t="shared" si="6"/>
        <v>34.825626373291016</v>
      </c>
      <c r="K6" s="26">
        <f t="shared" si="7"/>
        <v>113.72743612527847</v>
      </c>
      <c r="L6" s="26">
        <v>54</v>
      </c>
      <c r="M6" s="26">
        <f t="shared" si="8"/>
        <v>9.265625</v>
      </c>
      <c r="N6" s="26">
        <f t="shared" si="9"/>
        <v>85.851806640625</v>
      </c>
      <c r="O6" s="26">
        <f t="shared" si="10"/>
        <v>795.47064590454102</v>
      </c>
      <c r="P6" s="26">
        <f t="shared" si="11"/>
        <v>7370.5327034592628</v>
      </c>
      <c r="Q6" s="26">
        <v>43</v>
      </c>
      <c r="R6" s="26">
        <f t="shared" si="12"/>
        <v>-1.734375</v>
      </c>
      <c r="S6" s="26">
        <f t="shared" si="13"/>
        <v>3.008056640625</v>
      </c>
      <c r="T6" s="26">
        <f t="shared" si="14"/>
        <v>-5.2170982360839844</v>
      </c>
      <c r="U6" s="26">
        <f t="shared" si="15"/>
        <v>9.0484047532081604</v>
      </c>
      <c r="V6" s="26">
        <v>57</v>
      </c>
      <c r="W6" s="26">
        <f t="shared" si="16"/>
        <v>12.265625</v>
      </c>
      <c r="X6" s="26">
        <f t="shared" si="17"/>
        <v>150.445556640625</v>
      </c>
      <c r="Y6" s="26">
        <f t="shared" si="18"/>
        <v>1845.308780670166</v>
      </c>
      <c r="Z6" s="26">
        <f t="shared" si="19"/>
        <v>22633.865512907505</v>
      </c>
      <c r="AA6" s="26">
        <f>43+72</f>
        <v>115</v>
      </c>
      <c r="AB6" s="26">
        <f t="shared" si="20"/>
        <v>70.265625</v>
      </c>
      <c r="AC6" s="26">
        <f t="shared" si="21"/>
        <v>4937.258056640625</v>
      </c>
      <c r="AD6" s="26">
        <f t="shared" si="22"/>
        <v>346919.52313613892</v>
      </c>
      <c r="AE6" s="26">
        <f t="shared" si="23"/>
        <v>24376517.117862761</v>
      </c>
      <c r="AF6" s="26">
        <f>43+83</f>
        <v>126</v>
      </c>
      <c r="AG6" s="26">
        <f t="shared" si="24"/>
        <v>81.265625</v>
      </c>
      <c r="AH6" s="26">
        <f t="shared" si="25"/>
        <v>6604.101806640625</v>
      </c>
      <c r="AI6" s="26">
        <f t="shared" si="26"/>
        <v>536686.46088027954</v>
      </c>
      <c r="AJ6" s="26">
        <f t="shared" si="27"/>
        <v>43614160.672473967</v>
      </c>
      <c r="AK6" s="26">
        <v>18.5</v>
      </c>
      <c r="AL6" s="26">
        <f t="shared" si="28"/>
        <v>-26.234375</v>
      </c>
      <c r="AM6" s="26">
        <f t="shared" si="29"/>
        <v>688.242431640625</v>
      </c>
      <c r="AN6" s="26">
        <f t="shared" si="30"/>
        <v>-18055.610042572021</v>
      </c>
      <c r="AO6" s="26">
        <f t="shared" si="31"/>
        <v>473677.64471060038</v>
      </c>
      <c r="AP6" s="26">
        <v>56.5</v>
      </c>
      <c r="AQ6" s="26">
        <f t="shared" si="32"/>
        <v>11.765625</v>
      </c>
      <c r="AR6" s="26">
        <f t="shared" si="33"/>
        <v>138.429931640625</v>
      </c>
      <c r="AS6" s="26">
        <f t="shared" si="34"/>
        <v>1628.7146644592285</v>
      </c>
      <c r="AT6" s="26">
        <f t="shared" si="35"/>
        <v>19162.845974028111</v>
      </c>
      <c r="AU6" s="26">
        <v>23</v>
      </c>
      <c r="AV6" s="26">
        <f t="shared" si="36"/>
        <v>-21.734375</v>
      </c>
      <c r="AW6" s="26">
        <f t="shared" si="37"/>
        <v>472.383056640625</v>
      </c>
      <c r="AX6" s="26">
        <f t="shared" si="38"/>
        <v>-10266.950496673584</v>
      </c>
      <c r="AY6" s="26">
        <f t="shared" si="39"/>
        <v>223145.75220113993</v>
      </c>
      <c r="AZ6" s="26">
        <v>107</v>
      </c>
      <c r="BA6" s="26">
        <f t="shared" si="40"/>
        <v>62.265625</v>
      </c>
      <c r="BB6" s="26">
        <f t="shared" si="41"/>
        <v>3877.008056640625</v>
      </c>
      <c r="BC6" s="26">
        <f t="shared" si="42"/>
        <v>241404.32977676392</v>
      </c>
      <c r="BD6" s="26">
        <f t="shared" si="43"/>
        <v>15031191.471256316</v>
      </c>
    </row>
    <row r="7" spans="1:56" ht="12.75" hidden="1" customHeight="1" x14ac:dyDescent="0.2">
      <c r="A7" s="25" t="s">
        <v>6</v>
      </c>
      <c r="B7" s="26">
        <v>49</v>
      </c>
      <c r="C7" s="26">
        <f t="shared" si="0"/>
        <v>4.265625</v>
      </c>
      <c r="D7" s="26">
        <f t="shared" si="1"/>
        <v>18.195556640625</v>
      </c>
      <c r="E7" s="26">
        <f t="shared" si="2"/>
        <v>77.615421295166016</v>
      </c>
      <c r="F7" s="26">
        <f t="shared" si="3"/>
        <v>331.07828146219254</v>
      </c>
      <c r="G7" s="26">
        <v>50</v>
      </c>
      <c r="H7" s="26">
        <f t="shared" si="4"/>
        <v>5.265625</v>
      </c>
      <c r="I7" s="26">
        <f t="shared" si="5"/>
        <v>27.726806640625</v>
      </c>
      <c r="J7" s="26">
        <f t="shared" si="6"/>
        <v>145.99896621704102</v>
      </c>
      <c r="K7" s="26">
        <f t="shared" si="7"/>
        <v>768.7758064866066</v>
      </c>
      <c r="L7" s="26">
        <v>64</v>
      </c>
      <c r="M7" s="26">
        <f t="shared" si="8"/>
        <v>19.265625</v>
      </c>
      <c r="N7" s="26">
        <f t="shared" si="9"/>
        <v>371.164306640625</v>
      </c>
      <c r="O7" s="26">
        <f t="shared" si="10"/>
        <v>7150.712345123291</v>
      </c>
      <c r="P7" s="26">
        <f t="shared" si="11"/>
        <v>137762.9425240159</v>
      </c>
      <c r="Q7" s="26">
        <v>42</v>
      </c>
      <c r="R7" s="26">
        <f t="shared" si="12"/>
        <v>-2.734375</v>
      </c>
      <c r="S7" s="26">
        <f t="shared" si="13"/>
        <v>7.476806640625</v>
      </c>
      <c r="T7" s="26">
        <f t="shared" si="14"/>
        <v>-20.444393157958984</v>
      </c>
      <c r="U7" s="26">
        <f t="shared" si="15"/>
        <v>55.902637541294098</v>
      </c>
      <c r="V7" s="26">
        <v>68</v>
      </c>
      <c r="W7" s="26">
        <f t="shared" si="16"/>
        <v>23.265625</v>
      </c>
      <c r="X7" s="26">
        <f t="shared" si="17"/>
        <v>541.289306640625</v>
      </c>
      <c r="Y7" s="26">
        <f t="shared" si="18"/>
        <v>12593.434024810791</v>
      </c>
      <c r="Z7" s="26">
        <f t="shared" si="19"/>
        <v>292994.11348348856</v>
      </c>
      <c r="AA7" s="26">
        <f>46+79</f>
        <v>125</v>
      </c>
      <c r="AB7" s="26">
        <f t="shared" si="20"/>
        <v>80.265625</v>
      </c>
      <c r="AC7" s="26">
        <f t="shared" si="21"/>
        <v>6442.570556640625</v>
      </c>
      <c r="AD7" s="26">
        <f t="shared" si="22"/>
        <v>517116.95233535767</v>
      </c>
      <c r="AE7" s="26">
        <f t="shared" si="23"/>
        <v>41506715.377292693</v>
      </c>
      <c r="AF7" s="26">
        <f>46+91.5</f>
        <v>137.5</v>
      </c>
      <c r="AG7" s="26">
        <f t="shared" si="24"/>
        <v>92.765625</v>
      </c>
      <c r="AH7" s="26">
        <f t="shared" si="25"/>
        <v>8605.461181640625</v>
      </c>
      <c r="AI7" s="26">
        <f t="shared" si="26"/>
        <v>798290.9849281311</v>
      </c>
      <c r="AJ7" s="26">
        <f t="shared" si="27"/>
        <v>74053962.148723662</v>
      </c>
      <c r="AK7" s="26">
        <v>15</v>
      </c>
      <c r="AL7" s="26">
        <f t="shared" si="28"/>
        <v>-29.734375</v>
      </c>
      <c r="AM7" s="26">
        <f t="shared" si="29"/>
        <v>884.133056640625</v>
      </c>
      <c r="AN7" s="26">
        <f t="shared" si="30"/>
        <v>-26289.143856048584</v>
      </c>
      <c r="AO7" s="26">
        <f t="shared" si="31"/>
        <v>781691.26184469461</v>
      </c>
      <c r="AP7" s="26">
        <v>62</v>
      </c>
      <c r="AQ7" s="26">
        <f t="shared" si="32"/>
        <v>17.265625</v>
      </c>
      <c r="AR7" s="26">
        <f t="shared" si="33"/>
        <v>298.101806640625</v>
      </c>
      <c r="AS7" s="26">
        <f t="shared" si="34"/>
        <v>5146.914005279541</v>
      </c>
      <c r="AT7" s="26">
        <f t="shared" si="35"/>
        <v>88864.687122404575</v>
      </c>
      <c r="AU7" s="26">
        <v>20</v>
      </c>
      <c r="AV7" s="26">
        <f t="shared" si="36"/>
        <v>-24.734375</v>
      </c>
      <c r="AW7" s="26">
        <f t="shared" si="37"/>
        <v>611.789306640625</v>
      </c>
      <c r="AX7" s="26">
        <f t="shared" si="38"/>
        <v>-15132.226131439209</v>
      </c>
      <c r="AY7" s="26">
        <f t="shared" si="39"/>
        <v>374286.15571981668</v>
      </c>
      <c r="AZ7" s="26">
        <v>107</v>
      </c>
      <c r="BA7" s="26">
        <f t="shared" si="40"/>
        <v>62.265625</v>
      </c>
      <c r="BB7" s="26">
        <f t="shared" si="41"/>
        <v>3877.008056640625</v>
      </c>
      <c r="BC7" s="26">
        <f t="shared" si="42"/>
        <v>241404.32977676392</v>
      </c>
      <c r="BD7" s="26">
        <f t="shared" si="43"/>
        <v>15031191.471256316</v>
      </c>
    </row>
    <row r="8" spans="1:56" ht="12.75" hidden="1" customHeight="1" x14ac:dyDescent="0.2">
      <c r="A8" s="25" t="s">
        <v>7</v>
      </c>
      <c r="B8" s="26">
        <v>45.5</v>
      </c>
      <c r="C8" s="26">
        <f t="shared" si="0"/>
        <v>0.765625</v>
      </c>
      <c r="D8" s="26">
        <f t="shared" si="1"/>
        <v>0.586181640625</v>
      </c>
      <c r="E8" s="26">
        <f t="shared" si="2"/>
        <v>0.44879531860351563</v>
      </c>
      <c r="F8" s="26">
        <f t="shared" si="3"/>
        <v>0.34360891580581665</v>
      </c>
      <c r="G8" s="26">
        <v>47</v>
      </c>
      <c r="H8" s="26">
        <f t="shared" si="4"/>
        <v>2.265625</v>
      </c>
      <c r="I8" s="26">
        <f t="shared" si="5"/>
        <v>5.133056640625</v>
      </c>
      <c r="J8" s="26">
        <f t="shared" si="6"/>
        <v>11.629581451416016</v>
      </c>
      <c r="K8" s="26">
        <f t="shared" si="7"/>
        <v>26.34827047586441</v>
      </c>
      <c r="L8" s="26">
        <v>52.5</v>
      </c>
      <c r="M8" s="26">
        <f t="shared" si="8"/>
        <v>7.765625</v>
      </c>
      <c r="N8" s="26">
        <f t="shared" si="9"/>
        <v>60.304931640625</v>
      </c>
      <c r="O8" s="26">
        <f t="shared" si="10"/>
        <v>468.30548477172852</v>
      </c>
      <c r="P8" s="26">
        <f t="shared" si="11"/>
        <v>3636.6847801804543</v>
      </c>
      <c r="Q8" s="26">
        <v>46</v>
      </c>
      <c r="R8" s="26">
        <f t="shared" si="12"/>
        <v>1.265625</v>
      </c>
      <c r="S8" s="26">
        <f t="shared" si="13"/>
        <v>1.601806640625</v>
      </c>
      <c r="T8" s="26">
        <f t="shared" si="14"/>
        <v>2.0272865295410156</v>
      </c>
      <c r="U8" s="26">
        <f t="shared" si="15"/>
        <v>2.5657845139503479</v>
      </c>
      <c r="V8" s="26">
        <v>64</v>
      </c>
      <c r="W8" s="26">
        <f t="shared" si="16"/>
        <v>19.265625</v>
      </c>
      <c r="X8" s="26">
        <f t="shared" si="17"/>
        <v>371.164306640625</v>
      </c>
      <c r="Y8" s="26">
        <f t="shared" si="18"/>
        <v>7150.712345123291</v>
      </c>
      <c r="Z8" s="26">
        <f t="shared" si="19"/>
        <v>137762.9425240159</v>
      </c>
      <c r="AA8" s="26">
        <f>76.5+46</f>
        <v>122.5</v>
      </c>
      <c r="AB8" s="26">
        <f t="shared" si="20"/>
        <v>77.765625</v>
      </c>
      <c r="AC8" s="26">
        <f t="shared" si="21"/>
        <v>6047.492431640625</v>
      </c>
      <c r="AD8" s="26">
        <f t="shared" si="22"/>
        <v>470287.02862930298</v>
      </c>
      <c r="AE8" s="26">
        <f t="shared" si="23"/>
        <v>36572164.710750639</v>
      </c>
      <c r="AF8" s="26">
        <f>89+46</f>
        <v>135</v>
      </c>
      <c r="AG8" s="26">
        <f t="shared" si="24"/>
        <v>90.265625</v>
      </c>
      <c r="AH8" s="26">
        <f t="shared" si="25"/>
        <v>8147.883056640625</v>
      </c>
      <c r="AI8" s="26">
        <f t="shared" si="26"/>
        <v>735473.75653457642</v>
      </c>
      <c r="AJ8" s="26">
        <f t="shared" si="27"/>
        <v>66387998.304691374</v>
      </c>
      <c r="AK8" s="26">
        <v>19</v>
      </c>
      <c r="AL8" s="26">
        <f t="shared" si="28"/>
        <v>-25.734375</v>
      </c>
      <c r="AM8" s="26">
        <f t="shared" si="29"/>
        <v>662.258056640625</v>
      </c>
      <c r="AN8" s="26">
        <f t="shared" si="30"/>
        <v>-17042.797176361084</v>
      </c>
      <c r="AO8" s="26">
        <f t="shared" si="31"/>
        <v>438585.73358541727</v>
      </c>
      <c r="AP8" s="26">
        <v>59</v>
      </c>
      <c r="AQ8" s="26">
        <f t="shared" si="32"/>
        <v>14.265625</v>
      </c>
      <c r="AR8" s="26">
        <f t="shared" si="33"/>
        <v>203.508056640625</v>
      </c>
      <c r="AS8" s="26">
        <f t="shared" si="34"/>
        <v>2903.169620513916</v>
      </c>
      <c r="AT8" s="26">
        <f t="shared" si="35"/>
        <v>41415.529117643833</v>
      </c>
      <c r="AU8" s="26">
        <v>24</v>
      </c>
      <c r="AV8" s="26">
        <f t="shared" si="36"/>
        <v>-20.734375</v>
      </c>
      <c r="AW8" s="26">
        <f t="shared" si="37"/>
        <v>429.914306640625</v>
      </c>
      <c r="AX8" s="26">
        <f t="shared" si="38"/>
        <v>-8914.004451751709</v>
      </c>
      <c r="AY8" s="26">
        <f t="shared" si="39"/>
        <v>184826.31105428934</v>
      </c>
      <c r="AZ8" s="26">
        <v>112</v>
      </c>
      <c r="BA8" s="26">
        <f t="shared" si="40"/>
        <v>67.265625</v>
      </c>
      <c r="BB8" s="26">
        <f t="shared" si="41"/>
        <v>4524.664306640625</v>
      </c>
      <c r="BC8" s="26">
        <f t="shared" si="42"/>
        <v>304354.37250137329</v>
      </c>
      <c r="BD8" s="26">
        <f t="shared" si="43"/>
        <v>20472587.087787688</v>
      </c>
    </row>
    <row r="9" spans="1:56" ht="12.75" hidden="1" customHeight="1" x14ac:dyDescent="0.2">
      <c r="A9" s="25" t="s">
        <v>8</v>
      </c>
      <c r="B9" s="26">
        <v>45</v>
      </c>
      <c r="C9" s="26">
        <f t="shared" si="0"/>
        <v>0.265625</v>
      </c>
      <c r="D9" s="26">
        <f t="shared" si="1"/>
        <v>7.0556640625E-2</v>
      </c>
      <c r="E9" s="26">
        <f t="shared" si="2"/>
        <v>1.8741607666015625E-2</v>
      </c>
      <c r="F9" s="26">
        <f t="shared" si="3"/>
        <v>4.9782395362854004E-3</v>
      </c>
      <c r="G9" s="26">
        <v>42</v>
      </c>
      <c r="H9" s="26">
        <f t="shared" si="4"/>
        <v>-2.734375</v>
      </c>
      <c r="I9" s="26">
        <f t="shared" si="5"/>
        <v>7.476806640625</v>
      </c>
      <c r="J9" s="26">
        <f t="shared" si="6"/>
        <v>-20.444393157958984</v>
      </c>
      <c r="K9" s="26">
        <f t="shared" si="7"/>
        <v>55.902637541294098</v>
      </c>
      <c r="L9" s="26">
        <v>53</v>
      </c>
      <c r="M9" s="26">
        <f t="shared" si="8"/>
        <v>8.265625</v>
      </c>
      <c r="N9" s="26">
        <f t="shared" si="9"/>
        <v>68.320556640625</v>
      </c>
      <c r="O9" s="26">
        <f t="shared" si="10"/>
        <v>564.71210098266602</v>
      </c>
      <c r="P9" s="26">
        <f t="shared" si="11"/>
        <v>4667.6984596848488</v>
      </c>
      <c r="Q9" s="26">
        <v>41</v>
      </c>
      <c r="R9" s="26">
        <f t="shared" si="12"/>
        <v>-3.734375</v>
      </c>
      <c r="S9" s="26">
        <f t="shared" si="13"/>
        <v>13.945556640625</v>
      </c>
      <c r="T9" s="26">
        <f t="shared" si="14"/>
        <v>-52.077938079833984</v>
      </c>
      <c r="U9" s="26">
        <f t="shared" si="15"/>
        <v>194.47855001688004</v>
      </c>
      <c r="V9" s="26">
        <v>63</v>
      </c>
      <c r="W9" s="26">
        <f t="shared" si="16"/>
        <v>18.265625</v>
      </c>
      <c r="X9" s="26">
        <f t="shared" si="17"/>
        <v>333.633056640625</v>
      </c>
      <c r="Y9" s="26">
        <f t="shared" si="18"/>
        <v>6094.016300201416</v>
      </c>
      <c r="Z9" s="26">
        <f t="shared" si="19"/>
        <v>111311.01648336649</v>
      </c>
      <c r="AA9" s="26">
        <f>77+46</f>
        <v>123</v>
      </c>
      <c r="AB9" s="26">
        <f t="shared" si="20"/>
        <v>78.265625</v>
      </c>
      <c r="AC9" s="26">
        <f t="shared" si="21"/>
        <v>6125.508056640625</v>
      </c>
      <c r="AD9" s="26">
        <f t="shared" si="22"/>
        <v>479416.71649551392</v>
      </c>
      <c r="AE9" s="26">
        <f t="shared" si="23"/>
        <v>37521848.951969206</v>
      </c>
      <c r="AF9" s="26">
        <f t="shared" ref="AF9:AF10" si="44">88+46</f>
        <v>134</v>
      </c>
      <c r="AG9" s="26">
        <f t="shared" si="24"/>
        <v>89.265625</v>
      </c>
      <c r="AH9" s="26">
        <f t="shared" si="25"/>
        <v>7968.351806640625</v>
      </c>
      <c r="AI9" s="26">
        <f t="shared" si="26"/>
        <v>711299.90423965454</v>
      </c>
      <c r="AJ9" s="26">
        <f t="shared" si="27"/>
        <v>63494630.514392912</v>
      </c>
      <c r="AK9" s="26">
        <v>18</v>
      </c>
      <c r="AL9" s="26">
        <f t="shared" si="28"/>
        <v>-26.734375</v>
      </c>
      <c r="AM9" s="26">
        <f t="shared" si="29"/>
        <v>714.726806640625</v>
      </c>
      <c r="AN9" s="26">
        <f t="shared" si="30"/>
        <v>-19107.774471282959</v>
      </c>
      <c r="AO9" s="26">
        <f t="shared" si="31"/>
        <v>510834.40813070536</v>
      </c>
      <c r="AP9" s="26">
        <v>53</v>
      </c>
      <c r="AQ9" s="26">
        <f t="shared" si="32"/>
        <v>8.265625</v>
      </c>
      <c r="AR9" s="26">
        <f t="shared" si="33"/>
        <v>68.320556640625</v>
      </c>
      <c r="AS9" s="26">
        <f t="shared" si="34"/>
        <v>564.71210098266602</v>
      </c>
      <c r="AT9" s="26">
        <f t="shared" si="35"/>
        <v>4667.6984596848488</v>
      </c>
      <c r="AU9" s="26">
        <v>24</v>
      </c>
      <c r="AV9" s="26">
        <f t="shared" si="36"/>
        <v>-20.734375</v>
      </c>
      <c r="AW9" s="26">
        <f t="shared" si="37"/>
        <v>429.914306640625</v>
      </c>
      <c r="AX9" s="26">
        <f t="shared" si="38"/>
        <v>-8914.004451751709</v>
      </c>
      <c r="AY9" s="26">
        <f t="shared" si="39"/>
        <v>184826.31105428934</v>
      </c>
      <c r="AZ9" s="26">
        <v>112</v>
      </c>
      <c r="BA9" s="26">
        <f t="shared" si="40"/>
        <v>67.265625</v>
      </c>
      <c r="BB9" s="26">
        <f t="shared" si="41"/>
        <v>4524.664306640625</v>
      </c>
      <c r="BC9" s="26">
        <f t="shared" si="42"/>
        <v>304354.37250137329</v>
      </c>
      <c r="BD9" s="26">
        <f t="shared" si="43"/>
        <v>20472587.087787688</v>
      </c>
    </row>
    <row r="10" spans="1:56" ht="12.75" hidden="1" customHeight="1" x14ac:dyDescent="0.2">
      <c r="A10" s="25" t="s">
        <v>9</v>
      </c>
      <c r="B10" s="26">
        <v>49</v>
      </c>
      <c r="C10" s="26">
        <f t="shared" si="0"/>
        <v>4.265625</v>
      </c>
      <c r="D10" s="26">
        <f t="shared" si="1"/>
        <v>18.195556640625</v>
      </c>
      <c r="E10" s="26">
        <f t="shared" si="2"/>
        <v>77.615421295166016</v>
      </c>
      <c r="F10" s="26">
        <f t="shared" si="3"/>
        <v>331.07828146219254</v>
      </c>
      <c r="G10" s="26">
        <v>44</v>
      </c>
      <c r="H10" s="26">
        <f t="shared" si="4"/>
        <v>-0.734375</v>
      </c>
      <c r="I10" s="26">
        <f t="shared" si="5"/>
        <v>0.539306640625</v>
      </c>
      <c r="J10" s="26">
        <f t="shared" si="6"/>
        <v>-0.39605331420898438</v>
      </c>
      <c r="K10" s="26">
        <f t="shared" si="7"/>
        <v>0.2908516526222229</v>
      </c>
      <c r="L10" s="26">
        <v>55</v>
      </c>
      <c r="M10" s="26">
        <f t="shared" si="8"/>
        <v>10.265625</v>
      </c>
      <c r="N10" s="26">
        <f t="shared" si="9"/>
        <v>105.383056640625</v>
      </c>
      <c r="O10" s="26">
        <f t="shared" si="10"/>
        <v>1081.822940826416</v>
      </c>
      <c r="P10" s="26">
        <f t="shared" si="11"/>
        <v>11105.588626921177</v>
      </c>
      <c r="Q10" s="26">
        <v>43</v>
      </c>
      <c r="R10" s="26">
        <f t="shared" si="12"/>
        <v>-1.734375</v>
      </c>
      <c r="S10" s="26">
        <f t="shared" si="13"/>
        <v>3.008056640625</v>
      </c>
      <c r="T10" s="26">
        <f t="shared" si="14"/>
        <v>-5.2170982360839844</v>
      </c>
      <c r="U10" s="26">
        <f t="shared" si="15"/>
        <v>9.0484047532081604</v>
      </c>
      <c r="V10" s="26">
        <v>62</v>
      </c>
      <c r="W10" s="26">
        <f t="shared" si="16"/>
        <v>17.265625</v>
      </c>
      <c r="X10" s="26">
        <f t="shared" si="17"/>
        <v>298.101806640625</v>
      </c>
      <c r="Y10" s="26">
        <f t="shared" si="18"/>
        <v>5146.914005279541</v>
      </c>
      <c r="Z10" s="26">
        <f t="shared" si="19"/>
        <v>88864.687122404575</v>
      </c>
      <c r="AA10" s="26">
        <f>75+46</f>
        <v>121</v>
      </c>
      <c r="AB10" s="26">
        <f t="shared" si="20"/>
        <v>76.265625</v>
      </c>
      <c r="AC10" s="26">
        <f t="shared" si="21"/>
        <v>5816.445556640625</v>
      </c>
      <c r="AD10" s="26">
        <f t="shared" si="22"/>
        <v>443594.85565567017</v>
      </c>
      <c r="AE10" s="26">
        <f t="shared" si="23"/>
        <v>33831038.91336447</v>
      </c>
      <c r="AF10" s="26">
        <f t="shared" si="44"/>
        <v>134</v>
      </c>
      <c r="AG10" s="26">
        <f t="shared" si="24"/>
        <v>89.265625</v>
      </c>
      <c r="AH10" s="26">
        <f t="shared" si="25"/>
        <v>7968.351806640625</v>
      </c>
      <c r="AI10" s="26">
        <f t="shared" si="26"/>
        <v>711299.90423965454</v>
      </c>
      <c r="AJ10" s="26">
        <f t="shared" si="27"/>
        <v>63494630.514392912</v>
      </c>
      <c r="AK10" s="26">
        <v>18</v>
      </c>
      <c r="AL10" s="26">
        <f t="shared" si="28"/>
        <v>-26.734375</v>
      </c>
      <c r="AM10" s="26">
        <f t="shared" si="29"/>
        <v>714.726806640625</v>
      </c>
      <c r="AN10" s="26">
        <f t="shared" si="30"/>
        <v>-19107.774471282959</v>
      </c>
      <c r="AO10" s="26">
        <f t="shared" si="31"/>
        <v>510834.40813070536</v>
      </c>
      <c r="AP10" s="26">
        <v>56</v>
      </c>
      <c r="AQ10" s="26">
        <f t="shared" si="32"/>
        <v>11.265625</v>
      </c>
      <c r="AR10" s="26">
        <f t="shared" si="33"/>
        <v>126.914306640625</v>
      </c>
      <c r="AS10" s="26">
        <f t="shared" si="34"/>
        <v>1429.768985748291</v>
      </c>
      <c r="AT10" s="26">
        <f t="shared" si="35"/>
        <v>16107.241230070591</v>
      </c>
      <c r="AU10" s="26">
        <v>26</v>
      </c>
      <c r="AV10" s="26">
        <f t="shared" si="36"/>
        <v>-18.734375</v>
      </c>
      <c r="AW10" s="26">
        <f t="shared" si="37"/>
        <v>350.976806640625</v>
      </c>
      <c r="AX10" s="26">
        <f t="shared" si="38"/>
        <v>-6575.331111907959</v>
      </c>
      <c r="AY10" s="26">
        <f t="shared" si="39"/>
        <v>123184.71879965067</v>
      </c>
      <c r="AZ10" s="26">
        <v>112</v>
      </c>
      <c r="BA10" s="26">
        <f t="shared" si="40"/>
        <v>67.265625</v>
      </c>
      <c r="BB10" s="26">
        <f t="shared" si="41"/>
        <v>4524.664306640625</v>
      </c>
      <c r="BC10" s="26">
        <f t="shared" si="42"/>
        <v>304354.37250137329</v>
      </c>
      <c r="BD10" s="26">
        <f t="shared" si="43"/>
        <v>20472587.087787688</v>
      </c>
    </row>
    <row r="11" spans="1:56" ht="12.75" hidden="1" customHeight="1" x14ac:dyDescent="0.2">
      <c r="A11" s="25" t="s">
        <v>10</v>
      </c>
      <c r="B11" s="26">
        <v>46</v>
      </c>
      <c r="C11" s="26">
        <f t="shared" si="0"/>
        <v>1.265625</v>
      </c>
      <c r="D11" s="26">
        <f t="shared" si="1"/>
        <v>1.601806640625</v>
      </c>
      <c r="E11" s="26">
        <f t="shared" si="2"/>
        <v>2.0272865295410156</v>
      </c>
      <c r="F11" s="26">
        <f t="shared" si="3"/>
        <v>2.5657845139503479</v>
      </c>
      <c r="G11" s="26">
        <v>49</v>
      </c>
      <c r="H11" s="26">
        <f t="shared" si="4"/>
        <v>4.265625</v>
      </c>
      <c r="I11" s="26">
        <f t="shared" si="5"/>
        <v>18.195556640625</v>
      </c>
      <c r="J11" s="26">
        <f t="shared" si="6"/>
        <v>77.615421295166016</v>
      </c>
      <c r="K11" s="26">
        <f t="shared" si="7"/>
        <v>331.07828146219254</v>
      </c>
      <c r="L11" s="26">
        <v>43</v>
      </c>
      <c r="M11" s="26">
        <f t="shared" si="8"/>
        <v>-1.734375</v>
      </c>
      <c r="N11" s="26">
        <f t="shared" si="9"/>
        <v>3.008056640625</v>
      </c>
      <c r="O11" s="26">
        <f t="shared" si="10"/>
        <v>-5.2170982360839844</v>
      </c>
      <c r="P11" s="26">
        <f t="shared" si="11"/>
        <v>9.0484047532081604</v>
      </c>
      <c r="Q11" s="26">
        <v>49</v>
      </c>
      <c r="R11" s="26">
        <f t="shared" si="12"/>
        <v>4.265625</v>
      </c>
      <c r="S11" s="26">
        <f t="shared" si="13"/>
        <v>18.195556640625</v>
      </c>
      <c r="T11" s="26">
        <f t="shared" si="14"/>
        <v>77.615421295166016</v>
      </c>
      <c r="U11" s="26">
        <f t="shared" si="15"/>
        <v>331.07828146219254</v>
      </c>
      <c r="V11" s="26">
        <v>63</v>
      </c>
      <c r="W11" s="26">
        <f t="shared" si="16"/>
        <v>18.265625</v>
      </c>
      <c r="X11" s="26">
        <f t="shared" si="17"/>
        <v>333.633056640625</v>
      </c>
      <c r="Y11" s="26">
        <f t="shared" si="18"/>
        <v>6094.016300201416</v>
      </c>
      <c r="Z11" s="26">
        <f t="shared" si="19"/>
        <v>111311.01648336649</v>
      </c>
      <c r="AA11" s="26">
        <f>46+77</f>
        <v>123</v>
      </c>
      <c r="AB11" s="26">
        <f t="shared" si="20"/>
        <v>78.265625</v>
      </c>
      <c r="AC11" s="26">
        <f t="shared" si="21"/>
        <v>6125.508056640625</v>
      </c>
      <c r="AD11" s="26">
        <f t="shared" si="22"/>
        <v>479416.71649551392</v>
      </c>
      <c r="AE11" s="26">
        <f t="shared" si="23"/>
        <v>37521848.951969206</v>
      </c>
      <c r="AF11" s="26">
        <f>46+86</f>
        <v>132</v>
      </c>
      <c r="AG11" s="26">
        <f t="shared" si="24"/>
        <v>87.265625</v>
      </c>
      <c r="AH11" s="26">
        <f t="shared" si="25"/>
        <v>7615.289306640625</v>
      </c>
      <c r="AI11" s="26">
        <f t="shared" si="26"/>
        <v>664552.98089981079</v>
      </c>
      <c r="AJ11" s="26">
        <f t="shared" si="27"/>
        <v>57992631.223835051</v>
      </c>
      <c r="AK11" s="26">
        <v>18.5</v>
      </c>
      <c r="AL11" s="26">
        <f t="shared" si="28"/>
        <v>-26.234375</v>
      </c>
      <c r="AM11" s="26">
        <f t="shared" si="29"/>
        <v>688.242431640625</v>
      </c>
      <c r="AN11" s="26">
        <f t="shared" si="30"/>
        <v>-18055.610042572021</v>
      </c>
      <c r="AO11" s="26">
        <f t="shared" si="31"/>
        <v>473677.64471060038</v>
      </c>
      <c r="AP11" s="26">
        <v>60</v>
      </c>
      <c r="AQ11" s="26">
        <f t="shared" si="32"/>
        <v>15.265625</v>
      </c>
      <c r="AR11" s="26">
        <f t="shared" si="33"/>
        <v>233.039306640625</v>
      </c>
      <c r="AS11" s="26">
        <f t="shared" si="34"/>
        <v>3557.490665435791</v>
      </c>
      <c r="AT11" s="26">
        <f t="shared" si="35"/>
        <v>54307.318439543247</v>
      </c>
      <c r="AU11" s="26">
        <v>20</v>
      </c>
      <c r="AV11" s="26">
        <f t="shared" si="36"/>
        <v>-24.734375</v>
      </c>
      <c r="AW11" s="26">
        <f t="shared" si="37"/>
        <v>611.789306640625</v>
      </c>
      <c r="AX11" s="26">
        <f t="shared" si="38"/>
        <v>-15132.226131439209</v>
      </c>
      <c r="AY11" s="26">
        <f t="shared" si="39"/>
        <v>374286.15571981668</v>
      </c>
      <c r="AZ11" s="26">
        <v>98</v>
      </c>
      <c r="BA11" s="26">
        <f t="shared" si="40"/>
        <v>53.265625</v>
      </c>
      <c r="BB11" s="26">
        <f t="shared" si="41"/>
        <v>2837.226806640625</v>
      </c>
      <c r="BC11" s="26">
        <f t="shared" si="42"/>
        <v>151126.65912246704</v>
      </c>
      <c r="BD11" s="26">
        <f t="shared" si="43"/>
        <v>8049855.9523201585</v>
      </c>
    </row>
    <row r="12" spans="1:56" ht="12.75" hidden="1" customHeight="1" x14ac:dyDescent="0.2">
      <c r="A12" s="25" t="s">
        <v>11</v>
      </c>
      <c r="B12" s="26">
        <v>44</v>
      </c>
      <c r="C12" s="26">
        <f t="shared" si="0"/>
        <v>-0.734375</v>
      </c>
      <c r="D12" s="26">
        <f t="shared" si="1"/>
        <v>0.539306640625</v>
      </c>
      <c r="E12" s="26">
        <f t="shared" si="2"/>
        <v>-0.39605331420898438</v>
      </c>
      <c r="F12" s="26">
        <f t="shared" si="3"/>
        <v>0.2908516526222229</v>
      </c>
      <c r="G12" s="26">
        <v>44</v>
      </c>
      <c r="H12" s="26">
        <f t="shared" si="4"/>
        <v>-0.734375</v>
      </c>
      <c r="I12" s="26">
        <f t="shared" si="5"/>
        <v>0.539306640625</v>
      </c>
      <c r="J12" s="26">
        <f t="shared" si="6"/>
        <v>-0.39605331420898438</v>
      </c>
      <c r="K12" s="26">
        <f t="shared" si="7"/>
        <v>0.2908516526222229</v>
      </c>
      <c r="L12" s="26">
        <v>52</v>
      </c>
      <c r="M12" s="26">
        <f t="shared" si="8"/>
        <v>7.265625</v>
      </c>
      <c r="N12" s="26">
        <f t="shared" si="9"/>
        <v>52.789306640625</v>
      </c>
      <c r="O12" s="26">
        <f t="shared" si="10"/>
        <v>383.54730606079102</v>
      </c>
      <c r="P12" s="26">
        <f t="shared" si="11"/>
        <v>2786.7108955979347</v>
      </c>
      <c r="Q12" s="26">
        <v>43</v>
      </c>
      <c r="R12" s="26">
        <f t="shared" si="12"/>
        <v>-1.734375</v>
      </c>
      <c r="S12" s="26">
        <f t="shared" si="13"/>
        <v>3.008056640625</v>
      </c>
      <c r="T12" s="26">
        <f t="shared" si="14"/>
        <v>-5.2170982360839844</v>
      </c>
      <c r="U12" s="26">
        <f t="shared" si="15"/>
        <v>9.0484047532081604</v>
      </c>
      <c r="V12" s="26">
        <v>61</v>
      </c>
      <c r="W12" s="26">
        <f t="shared" si="16"/>
        <v>16.265625</v>
      </c>
      <c r="X12" s="26">
        <f t="shared" si="17"/>
        <v>264.570556640625</v>
      </c>
      <c r="Y12" s="26">
        <f t="shared" si="18"/>
        <v>4303.405460357666</v>
      </c>
      <c r="Z12" s="26">
        <f t="shared" si="19"/>
        <v>69997.579441130161</v>
      </c>
      <c r="AA12" s="26">
        <f>46+74</f>
        <v>120</v>
      </c>
      <c r="AB12" s="26">
        <f t="shared" si="20"/>
        <v>75.265625</v>
      </c>
      <c r="AC12" s="26">
        <f t="shared" si="21"/>
        <v>5664.914306640625</v>
      </c>
      <c r="AD12" s="26">
        <f t="shared" si="22"/>
        <v>426373.31586074829</v>
      </c>
      <c r="AE12" s="26">
        <f t="shared" si="23"/>
        <v>32091254.101581633</v>
      </c>
      <c r="AF12" s="26">
        <f>87+46</f>
        <v>133</v>
      </c>
      <c r="AG12" s="26">
        <f t="shared" si="24"/>
        <v>88.265625</v>
      </c>
      <c r="AH12" s="26">
        <f t="shared" si="25"/>
        <v>7790.820556640625</v>
      </c>
      <c r="AI12" s="26">
        <f t="shared" si="26"/>
        <v>687661.64569473267</v>
      </c>
      <c r="AJ12" s="26">
        <f t="shared" si="27"/>
        <v>60696884.945774138</v>
      </c>
      <c r="AK12" s="26">
        <v>16</v>
      </c>
      <c r="AL12" s="26">
        <f t="shared" si="28"/>
        <v>-28.734375</v>
      </c>
      <c r="AM12" s="26">
        <f t="shared" si="29"/>
        <v>825.664306640625</v>
      </c>
      <c r="AN12" s="26">
        <f t="shared" si="30"/>
        <v>-23724.947811126709</v>
      </c>
      <c r="AO12" s="26">
        <f t="shared" si="31"/>
        <v>681721.54726034403</v>
      </c>
      <c r="AP12" s="26">
        <v>55</v>
      </c>
      <c r="AQ12" s="26">
        <f t="shared" si="32"/>
        <v>10.265625</v>
      </c>
      <c r="AR12" s="26">
        <f t="shared" si="33"/>
        <v>105.383056640625</v>
      </c>
      <c r="AS12" s="26">
        <f t="shared" si="34"/>
        <v>1081.822940826416</v>
      </c>
      <c r="AT12" s="26">
        <f t="shared" si="35"/>
        <v>11105.588626921177</v>
      </c>
      <c r="AU12" s="26">
        <v>24</v>
      </c>
      <c r="AV12" s="26">
        <f t="shared" si="36"/>
        <v>-20.734375</v>
      </c>
      <c r="AW12" s="26">
        <f t="shared" si="37"/>
        <v>429.914306640625</v>
      </c>
      <c r="AX12" s="26">
        <f t="shared" si="38"/>
        <v>-8914.004451751709</v>
      </c>
      <c r="AY12" s="26">
        <f t="shared" si="39"/>
        <v>184826.31105428934</v>
      </c>
      <c r="AZ12" s="26">
        <v>112</v>
      </c>
      <c r="BA12" s="26">
        <f t="shared" si="40"/>
        <v>67.265625</v>
      </c>
      <c r="BB12" s="26">
        <f t="shared" si="41"/>
        <v>4524.664306640625</v>
      </c>
      <c r="BC12" s="26">
        <f t="shared" si="42"/>
        <v>304354.37250137329</v>
      </c>
      <c r="BD12" s="26">
        <f t="shared" si="43"/>
        <v>20472587.087787688</v>
      </c>
    </row>
    <row r="13" spans="1:56" ht="12.75" hidden="1" customHeight="1" x14ac:dyDescent="0.2">
      <c r="A13" s="25" t="s">
        <v>12</v>
      </c>
      <c r="B13" s="26">
        <v>46</v>
      </c>
      <c r="C13" s="26">
        <f t="shared" si="0"/>
        <v>1.265625</v>
      </c>
      <c r="D13" s="26">
        <f t="shared" si="1"/>
        <v>1.601806640625</v>
      </c>
      <c r="E13" s="26">
        <f t="shared" si="2"/>
        <v>2.0272865295410156</v>
      </c>
      <c r="F13" s="26">
        <f t="shared" si="3"/>
        <v>2.5657845139503479</v>
      </c>
      <c r="G13" s="26">
        <v>45</v>
      </c>
      <c r="H13" s="26">
        <f t="shared" si="4"/>
        <v>0.265625</v>
      </c>
      <c r="I13" s="26">
        <f t="shared" si="5"/>
        <v>7.0556640625E-2</v>
      </c>
      <c r="J13" s="26">
        <f t="shared" si="6"/>
        <v>1.8741607666015625E-2</v>
      </c>
      <c r="K13" s="26">
        <f t="shared" si="7"/>
        <v>4.9782395362854004E-3</v>
      </c>
      <c r="L13" s="26">
        <v>44</v>
      </c>
      <c r="M13" s="26">
        <f t="shared" si="8"/>
        <v>-0.734375</v>
      </c>
      <c r="N13" s="26">
        <f t="shared" si="9"/>
        <v>0.539306640625</v>
      </c>
      <c r="O13" s="26">
        <f t="shared" si="10"/>
        <v>-0.39605331420898438</v>
      </c>
      <c r="P13" s="26">
        <f t="shared" si="11"/>
        <v>0.2908516526222229</v>
      </c>
      <c r="Q13" s="26">
        <v>41</v>
      </c>
      <c r="R13" s="26">
        <f t="shared" si="12"/>
        <v>-3.734375</v>
      </c>
      <c r="S13" s="26">
        <f t="shared" si="13"/>
        <v>13.945556640625</v>
      </c>
      <c r="T13" s="26">
        <f t="shared" si="14"/>
        <v>-52.077938079833984</v>
      </c>
      <c r="U13" s="26">
        <f t="shared" si="15"/>
        <v>194.47855001688004</v>
      </c>
      <c r="V13" s="26">
        <v>57</v>
      </c>
      <c r="W13" s="26">
        <f t="shared" si="16"/>
        <v>12.265625</v>
      </c>
      <c r="X13" s="26">
        <f t="shared" si="17"/>
        <v>150.445556640625</v>
      </c>
      <c r="Y13" s="26">
        <f t="shared" si="18"/>
        <v>1845.308780670166</v>
      </c>
      <c r="Z13" s="26">
        <f t="shared" si="19"/>
        <v>22633.865512907505</v>
      </c>
      <c r="AA13" s="26">
        <f>74.5+46</f>
        <v>120.5</v>
      </c>
      <c r="AB13" s="26">
        <f t="shared" si="20"/>
        <v>75.765625</v>
      </c>
      <c r="AC13" s="26">
        <f t="shared" si="21"/>
        <v>5740.429931640625</v>
      </c>
      <c r="AD13" s="26">
        <f t="shared" si="22"/>
        <v>434927.26153945923</v>
      </c>
      <c r="AE13" s="26">
        <f t="shared" si="23"/>
        <v>32952535.800075591</v>
      </c>
      <c r="AF13" s="26">
        <f>88+46</f>
        <v>134</v>
      </c>
      <c r="AG13" s="26">
        <f t="shared" si="24"/>
        <v>89.265625</v>
      </c>
      <c r="AH13" s="26">
        <f t="shared" si="25"/>
        <v>7968.351806640625</v>
      </c>
      <c r="AI13" s="26">
        <f t="shared" si="26"/>
        <v>711299.90423965454</v>
      </c>
      <c r="AJ13" s="26">
        <f t="shared" si="27"/>
        <v>63494630.514392912</v>
      </c>
      <c r="AK13" s="26">
        <v>14.5</v>
      </c>
      <c r="AL13" s="26">
        <f t="shared" si="28"/>
        <v>-30.234375</v>
      </c>
      <c r="AM13" s="26">
        <f t="shared" si="29"/>
        <v>914.117431640625</v>
      </c>
      <c r="AN13" s="26">
        <f t="shared" si="30"/>
        <v>-27637.769222259521</v>
      </c>
      <c r="AO13" s="26">
        <f t="shared" si="31"/>
        <v>835610.67882925272</v>
      </c>
      <c r="AP13" s="26">
        <v>56</v>
      </c>
      <c r="AQ13" s="26">
        <f t="shared" si="32"/>
        <v>11.265625</v>
      </c>
      <c r="AR13" s="26">
        <f t="shared" si="33"/>
        <v>126.914306640625</v>
      </c>
      <c r="AS13" s="26">
        <f t="shared" si="34"/>
        <v>1429.768985748291</v>
      </c>
      <c r="AT13" s="26">
        <f t="shared" si="35"/>
        <v>16107.241230070591</v>
      </c>
      <c r="AU13" s="26">
        <v>20</v>
      </c>
      <c r="AV13" s="26">
        <f t="shared" si="36"/>
        <v>-24.734375</v>
      </c>
      <c r="AW13" s="26">
        <f t="shared" si="37"/>
        <v>611.789306640625</v>
      </c>
      <c r="AX13" s="26">
        <f t="shared" si="38"/>
        <v>-15132.226131439209</v>
      </c>
      <c r="AY13" s="26">
        <f t="shared" si="39"/>
        <v>374286.15571981668</v>
      </c>
      <c r="AZ13" s="26">
        <v>101</v>
      </c>
      <c r="BA13" s="26">
        <f t="shared" si="40"/>
        <v>56.265625</v>
      </c>
      <c r="BB13" s="26">
        <f t="shared" si="41"/>
        <v>3165.820556640625</v>
      </c>
      <c r="BC13" s="26">
        <f t="shared" si="42"/>
        <v>178126.87225723267</v>
      </c>
      <c r="BD13" s="26">
        <f t="shared" si="43"/>
        <v>10022419.796848357</v>
      </c>
    </row>
    <row r="14" spans="1:56" ht="12.75" hidden="1" customHeight="1" x14ac:dyDescent="0.2">
      <c r="A14" s="25" t="s">
        <v>13</v>
      </c>
      <c r="B14" s="26">
        <v>43</v>
      </c>
      <c r="C14" s="26">
        <f t="shared" si="0"/>
        <v>-1.734375</v>
      </c>
      <c r="D14" s="26">
        <f t="shared" si="1"/>
        <v>3.008056640625</v>
      </c>
      <c r="E14" s="26">
        <f t="shared" si="2"/>
        <v>-5.2170982360839844</v>
      </c>
      <c r="F14" s="26">
        <f t="shared" si="3"/>
        <v>9.0484047532081604</v>
      </c>
      <c r="G14" s="26">
        <v>42</v>
      </c>
      <c r="H14" s="26">
        <f t="shared" si="4"/>
        <v>-2.734375</v>
      </c>
      <c r="I14" s="26">
        <f t="shared" si="5"/>
        <v>7.476806640625</v>
      </c>
      <c r="J14" s="26">
        <f t="shared" si="6"/>
        <v>-20.444393157958984</v>
      </c>
      <c r="K14" s="26">
        <f t="shared" si="7"/>
        <v>55.902637541294098</v>
      </c>
      <c r="L14" s="26">
        <v>52</v>
      </c>
      <c r="M14" s="26">
        <f t="shared" si="8"/>
        <v>7.265625</v>
      </c>
      <c r="N14" s="26">
        <f t="shared" si="9"/>
        <v>52.789306640625</v>
      </c>
      <c r="O14" s="26">
        <f t="shared" si="10"/>
        <v>383.54730606079102</v>
      </c>
      <c r="P14" s="26">
        <f t="shared" si="11"/>
        <v>2786.7108955979347</v>
      </c>
      <c r="Q14" s="26">
        <v>41</v>
      </c>
      <c r="R14" s="26">
        <f t="shared" si="12"/>
        <v>-3.734375</v>
      </c>
      <c r="S14" s="26">
        <f t="shared" si="13"/>
        <v>13.945556640625</v>
      </c>
      <c r="T14" s="26">
        <f t="shared" si="14"/>
        <v>-52.077938079833984</v>
      </c>
      <c r="U14" s="26">
        <f t="shared" si="15"/>
        <v>194.47855001688004</v>
      </c>
      <c r="V14" s="26">
        <v>58</v>
      </c>
      <c r="W14" s="26">
        <f t="shared" si="16"/>
        <v>13.265625</v>
      </c>
      <c r="X14" s="26">
        <f t="shared" si="17"/>
        <v>175.976806640625</v>
      </c>
      <c r="Y14" s="26">
        <f t="shared" si="18"/>
        <v>2334.442325592041</v>
      </c>
      <c r="Z14" s="26">
        <f t="shared" si="19"/>
        <v>30967.836475431919</v>
      </c>
      <c r="AA14" s="26">
        <f>46+73.5</f>
        <v>119.5</v>
      </c>
      <c r="AB14" s="26">
        <f t="shared" si="20"/>
        <v>74.765625</v>
      </c>
      <c r="AC14" s="26">
        <f t="shared" si="21"/>
        <v>5589.898681640625</v>
      </c>
      <c r="AD14" s="26">
        <f t="shared" si="22"/>
        <v>417932.26861953735</v>
      </c>
      <c r="AE14" s="26">
        <f t="shared" si="23"/>
        <v>31246967.271007597</v>
      </c>
      <c r="AF14" s="26">
        <f>46+85</f>
        <v>131</v>
      </c>
      <c r="AG14" s="26">
        <f t="shared" si="24"/>
        <v>86.265625</v>
      </c>
      <c r="AH14" s="26">
        <f t="shared" si="25"/>
        <v>7441.758056640625</v>
      </c>
      <c r="AI14" s="26">
        <f t="shared" si="26"/>
        <v>641967.90985488892</v>
      </c>
      <c r="AJ14" s="26">
        <f t="shared" si="27"/>
        <v>55379762.973575652</v>
      </c>
      <c r="AK14" s="26">
        <v>17.5</v>
      </c>
      <c r="AL14" s="26">
        <f t="shared" si="28"/>
        <v>-27.234375</v>
      </c>
      <c r="AM14" s="26">
        <f t="shared" si="29"/>
        <v>741.711181640625</v>
      </c>
      <c r="AN14" s="26">
        <f t="shared" si="30"/>
        <v>-20200.040462493896</v>
      </c>
      <c r="AO14" s="26">
        <f t="shared" si="31"/>
        <v>550135.47697073221</v>
      </c>
      <c r="AP14" s="26">
        <v>53</v>
      </c>
      <c r="AQ14" s="26">
        <f t="shared" si="32"/>
        <v>8.265625</v>
      </c>
      <c r="AR14" s="26">
        <f t="shared" si="33"/>
        <v>68.320556640625</v>
      </c>
      <c r="AS14" s="26">
        <f t="shared" si="34"/>
        <v>564.71210098266602</v>
      </c>
      <c r="AT14" s="26">
        <f t="shared" si="35"/>
        <v>4667.6984596848488</v>
      </c>
      <c r="AU14" s="26">
        <v>22</v>
      </c>
      <c r="AV14" s="26">
        <f t="shared" si="36"/>
        <v>-22.734375</v>
      </c>
      <c r="AW14" s="26">
        <f t="shared" si="37"/>
        <v>516.851806640625</v>
      </c>
      <c r="AX14" s="26">
        <f t="shared" si="38"/>
        <v>-11750.302791595459</v>
      </c>
      <c r="AY14" s="26">
        <f t="shared" si="39"/>
        <v>267135.79002767801</v>
      </c>
      <c r="AZ14" s="26">
        <v>112</v>
      </c>
      <c r="BA14" s="26">
        <f t="shared" si="40"/>
        <v>67.265625</v>
      </c>
      <c r="BB14" s="26">
        <f t="shared" si="41"/>
        <v>4524.664306640625</v>
      </c>
      <c r="BC14" s="26">
        <f t="shared" si="42"/>
        <v>304354.37250137329</v>
      </c>
      <c r="BD14" s="26">
        <f t="shared" si="43"/>
        <v>20472587.087787688</v>
      </c>
    </row>
    <row r="15" spans="1:56" ht="12.75" hidden="1" customHeight="1" x14ac:dyDescent="0.2">
      <c r="A15" s="25" t="s">
        <v>14</v>
      </c>
      <c r="B15" s="26">
        <v>45</v>
      </c>
      <c r="C15" s="26">
        <f t="shared" si="0"/>
        <v>0.265625</v>
      </c>
      <c r="D15" s="26">
        <f t="shared" si="1"/>
        <v>7.0556640625E-2</v>
      </c>
      <c r="E15" s="26">
        <f t="shared" si="2"/>
        <v>1.8741607666015625E-2</v>
      </c>
      <c r="F15" s="26">
        <f t="shared" si="3"/>
        <v>4.9782395362854004E-3</v>
      </c>
      <c r="G15" s="26">
        <v>49</v>
      </c>
      <c r="H15" s="26">
        <f t="shared" si="4"/>
        <v>4.265625</v>
      </c>
      <c r="I15" s="26">
        <f t="shared" si="5"/>
        <v>18.195556640625</v>
      </c>
      <c r="J15" s="26">
        <f t="shared" si="6"/>
        <v>77.615421295166016</v>
      </c>
      <c r="K15" s="26">
        <f t="shared" si="7"/>
        <v>331.07828146219254</v>
      </c>
      <c r="L15" s="26">
        <v>50</v>
      </c>
      <c r="M15" s="26">
        <f t="shared" si="8"/>
        <v>5.265625</v>
      </c>
      <c r="N15" s="26">
        <f t="shared" si="9"/>
        <v>27.726806640625</v>
      </c>
      <c r="O15" s="26">
        <f t="shared" si="10"/>
        <v>145.99896621704102</v>
      </c>
      <c r="P15" s="26">
        <f t="shared" si="11"/>
        <v>768.7758064866066</v>
      </c>
      <c r="Q15" s="26">
        <v>41</v>
      </c>
      <c r="R15" s="26">
        <f t="shared" si="12"/>
        <v>-3.734375</v>
      </c>
      <c r="S15" s="26">
        <f t="shared" si="13"/>
        <v>13.945556640625</v>
      </c>
      <c r="T15" s="26">
        <f t="shared" si="14"/>
        <v>-52.077938079833984</v>
      </c>
      <c r="U15" s="26">
        <f t="shared" si="15"/>
        <v>194.47855001688004</v>
      </c>
      <c r="V15" s="26">
        <v>61.5</v>
      </c>
      <c r="W15" s="26">
        <f t="shared" si="16"/>
        <v>16.765625</v>
      </c>
      <c r="X15" s="26">
        <f t="shared" si="17"/>
        <v>281.086181640625</v>
      </c>
      <c r="Y15" s="26">
        <f t="shared" si="18"/>
        <v>4712.5855140686035</v>
      </c>
      <c r="Z15" s="26">
        <f t="shared" si="19"/>
        <v>79009.441509306431</v>
      </c>
      <c r="AA15" s="26">
        <v>123</v>
      </c>
      <c r="AB15" s="26">
        <f t="shared" si="20"/>
        <v>78.265625</v>
      </c>
      <c r="AC15" s="26">
        <f t="shared" si="21"/>
        <v>6125.508056640625</v>
      </c>
      <c r="AD15" s="26">
        <f t="shared" si="22"/>
        <v>479416.71649551392</v>
      </c>
      <c r="AE15" s="26">
        <f t="shared" si="23"/>
        <v>37521848.951969206</v>
      </c>
      <c r="AF15" s="26">
        <v>132.5</v>
      </c>
      <c r="AG15" s="26">
        <f t="shared" si="24"/>
        <v>87.765625</v>
      </c>
      <c r="AH15" s="26">
        <f t="shared" si="25"/>
        <v>7702.804931640625</v>
      </c>
      <c r="AI15" s="26">
        <f t="shared" si="26"/>
        <v>676041.48907852173</v>
      </c>
      <c r="AJ15" s="26">
        <f t="shared" si="27"/>
        <v>59333203.814907134</v>
      </c>
      <c r="AK15" s="26">
        <v>17</v>
      </c>
      <c r="AL15" s="26">
        <f t="shared" si="28"/>
        <v>-27.734375</v>
      </c>
      <c r="AM15" s="26">
        <f t="shared" si="29"/>
        <v>769.195556640625</v>
      </c>
      <c r="AN15" s="26">
        <f t="shared" si="30"/>
        <v>-21333.158016204834</v>
      </c>
      <c r="AO15" s="26">
        <f t="shared" si="31"/>
        <v>591661.80435568094</v>
      </c>
      <c r="AP15" s="26">
        <v>58</v>
      </c>
      <c r="AQ15" s="26">
        <f t="shared" si="32"/>
        <v>13.265625</v>
      </c>
      <c r="AR15" s="26">
        <f t="shared" si="33"/>
        <v>175.976806640625</v>
      </c>
      <c r="AS15" s="26">
        <f t="shared" si="34"/>
        <v>2334.442325592041</v>
      </c>
      <c r="AT15" s="26">
        <f t="shared" si="35"/>
        <v>30967.836475431919</v>
      </c>
      <c r="AU15" s="26">
        <v>24</v>
      </c>
      <c r="AV15" s="26">
        <f t="shared" si="36"/>
        <v>-20.734375</v>
      </c>
      <c r="AW15" s="26">
        <f t="shared" si="37"/>
        <v>429.914306640625</v>
      </c>
      <c r="AX15" s="26">
        <f t="shared" si="38"/>
        <v>-8914.004451751709</v>
      </c>
      <c r="AY15" s="26">
        <f t="shared" si="39"/>
        <v>184826.31105428934</v>
      </c>
      <c r="AZ15" s="26">
        <v>101</v>
      </c>
      <c r="BA15" s="26">
        <f t="shared" si="40"/>
        <v>56.265625</v>
      </c>
      <c r="BB15" s="26">
        <f t="shared" si="41"/>
        <v>3165.820556640625</v>
      </c>
      <c r="BC15" s="26">
        <f t="shared" si="42"/>
        <v>178126.87225723267</v>
      </c>
      <c r="BD15" s="26">
        <f t="shared" si="43"/>
        <v>10022419.796848357</v>
      </c>
    </row>
    <row r="16" spans="1:56" ht="12.75" hidden="1" customHeight="1" x14ac:dyDescent="0.2">
      <c r="A16" s="25" t="s">
        <v>15</v>
      </c>
      <c r="B16" s="26">
        <v>46</v>
      </c>
      <c r="C16" s="26">
        <f t="shared" si="0"/>
        <v>1.265625</v>
      </c>
      <c r="D16" s="26">
        <f t="shared" si="1"/>
        <v>1.601806640625</v>
      </c>
      <c r="E16" s="26">
        <f t="shared" si="2"/>
        <v>2.0272865295410156</v>
      </c>
      <c r="F16" s="26">
        <f t="shared" si="3"/>
        <v>2.5657845139503479</v>
      </c>
      <c r="G16" s="26">
        <v>47</v>
      </c>
      <c r="H16" s="26">
        <f t="shared" si="4"/>
        <v>2.265625</v>
      </c>
      <c r="I16" s="26">
        <f t="shared" si="5"/>
        <v>5.133056640625</v>
      </c>
      <c r="J16" s="26">
        <f t="shared" si="6"/>
        <v>11.629581451416016</v>
      </c>
      <c r="K16" s="26">
        <f t="shared" si="7"/>
        <v>26.34827047586441</v>
      </c>
      <c r="L16" s="26">
        <v>64</v>
      </c>
      <c r="M16" s="26">
        <f t="shared" si="8"/>
        <v>19.265625</v>
      </c>
      <c r="N16" s="26">
        <f t="shared" si="9"/>
        <v>371.164306640625</v>
      </c>
      <c r="O16" s="26">
        <f t="shared" si="10"/>
        <v>7150.712345123291</v>
      </c>
      <c r="P16" s="26">
        <f t="shared" si="11"/>
        <v>137762.9425240159</v>
      </c>
      <c r="Q16" s="26">
        <v>46</v>
      </c>
      <c r="R16" s="26">
        <f t="shared" si="12"/>
        <v>1.265625</v>
      </c>
      <c r="S16" s="26">
        <f t="shared" si="13"/>
        <v>1.601806640625</v>
      </c>
      <c r="T16" s="26">
        <f t="shared" si="14"/>
        <v>2.0272865295410156</v>
      </c>
      <c r="U16" s="26">
        <f t="shared" si="15"/>
        <v>2.5657845139503479</v>
      </c>
      <c r="V16" s="26">
        <v>59</v>
      </c>
      <c r="W16" s="26">
        <f t="shared" si="16"/>
        <v>14.265625</v>
      </c>
      <c r="X16" s="26">
        <f t="shared" si="17"/>
        <v>203.508056640625</v>
      </c>
      <c r="Y16" s="26">
        <f t="shared" si="18"/>
        <v>2903.169620513916</v>
      </c>
      <c r="Z16" s="26">
        <f t="shared" si="19"/>
        <v>41415.529117643833</v>
      </c>
      <c r="AA16" s="26">
        <v>121</v>
      </c>
      <c r="AB16" s="26">
        <f t="shared" si="20"/>
        <v>76.265625</v>
      </c>
      <c r="AC16" s="26">
        <f t="shared" si="21"/>
        <v>5816.445556640625</v>
      </c>
      <c r="AD16" s="26">
        <f t="shared" si="22"/>
        <v>443594.85565567017</v>
      </c>
      <c r="AE16" s="26">
        <f t="shared" si="23"/>
        <v>33831038.91336447</v>
      </c>
      <c r="AF16" s="26">
        <v>132</v>
      </c>
      <c r="AG16" s="26">
        <f t="shared" si="24"/>
        <v>87.265625</v>
      </c>
      <c r="AH16" s="26">
        <f t="shared" si="25"/>
        <v>7615.289306640625</v>
      </c>
      <c r="AI16" s="26">
        <f t="shared" si="26"/>
        <v>664552.98089981079</v>
      </c>
      <c r="AJ16" s="26">
        <f t="shared" si="27"/>
        <v>57992631.223835051</v>
      </c>
      <c r="AK16" s="26">
        <v>16.5</v>
      </c>
      <c r="AL16" s="26">
        <f t="shared" si="28"/>
        <v>-28.234375</v>
      </c>
      <c r="AM16" s="26">
        <f t="shared" si="29"/>
        <v>797.179931640625</v>
      </c>
      <c r="AN16" s="26">
        <f t="shared" si="30"/>
        <v>-22507.877132415771</v>
      </c>
      <c r="AO16" s="26">
        <f t="shared" si="31"/>
        <v>635495.84341055155</v>
      </c>
      <c r="AP16" s="26">
        <v>60</v>
      </c>
      <c r="AQ16" s="26">
        <f t="shared" si="32"/>
        <v>15.265625</v>
      </c>
      <c r="AR16" s="26">
        <f t="shared" si="33"/>
        <v>233.039306640625</v>
      </c>
      <c r="AS16" s="26">
        <f t="shared" si="34"/>
        <v>3557.490665435791</v>
      </c>
      <c r="AT16" s="26">
        <f t="shared" si="35"/>
        <v>54307.318439543247</v>
      </c>
      <c r="AU16" s="26">
        <v>23</v>
      </c>
      <c r="AV16" s="26">
        <f t="shared" si="36"/>
        <v>-21.734375</v>
      </c>
      <c r="AW16" s="26">
        <f t="shared" si="37"/>
        <v>472.383056640625</v>
      </c>
      <c r="AX16" s="26">
        <f t="shared" si="38"/>
        <v>-10266.950496673584</v>
      </c>
      <c r="AY16" s="26">
        <f t="shared" si="39"/>
        <v>223145.75220113993</v>
      </c>
      <c r="AZ16" s="26">
        <v>101</v>
      </c>
      <c r="BA16" s="26">
        <f t="shared" si="40"/>
        <v>56.265625</v>
      </c>
      <c r="BB16" s="26">
        <f t="shared" si="41"/>
        <v>3165.820556640625</v>
      </c>
      <c r="BC16" s="26">
        <f t="shared" si="42"/>
        <v>178126.87225723267</v>
      </c>
      <c r="BD16" s="26">
        <f t="shared" si="43"/>
        <v>10022419.796848357</v>
      </c>
    </row>
    <row r="17" spans="1:56" ht="12.75" hidden="1" customHeight="1" x14ac:dyDescent="0.2">
      <c r="A17" s="25" t="s">
        <v>16</v>
      </c>
      <c r="B17" s="26">
        <v>46</v>
      </c>
      <c r="C17" s="26">
        <f t="shared" si="0"/>
        <v>1.265625</v>
      </c>
      <c r="D17" s="26">
        <f t="shared" si="1"/>
        <v>1.601806640625</v>
      </c>
      <c r="E17" s="26">
        <f t="shared" si="2"/>
        <v>2.0272865295410156</v>
      </c>
      <c r="F17" s="26">
        <f t="shared" si="3"/>
        <v>2.5657845139503479</v>
      </c>
      <c r="G17" s="26">
        <v>49</v>
      </c>
      <c r="H17" s="26">
        <f t="shared" si="4"/>
        <v>4.265625</v>
      </c>
      <c r="I17" s="26">
        <f t="shared" si="5"/>
        <v>18.195556640625</v>
      </c>
      <c r="J17" s="26">
        <f t="shared" si="6"/>
        <v>77.615421295166016</v>
      </c>
      <c r="K17" s="26">
        <f t="shared" si="7"/>
        <v>331.07828146219254</v>
      </c>
      <c r="L17" s="26">
        <v>60</v>
      </c>
      <c r="M17" s="26">
        <f t="shared" si="8"/>
        <v>15.265625</v>
      </c>
      <c r="N17" s="26">
        <f t="shared" si="9"/>
        <v>233.039306640625</v>
      </c>
      <c r="O17" s="26">
        <f t="shared" si="10"/>
        <v>3557.490665435791</v>
      </c>
      <c r="P17" s="26">
        <f t="shared" si="11"/>
        <v>54307.318439543247</v>
      </c>
      <c r="Q17" s="26">
        <v>38</v>
      </c>
      <c r="R17" s="26">
        <f t="shared" si="12"/>
        <v>-6.734375</v>
      </c>
      <c r="S17" s="26">
        <f t="shared" si="13"/>
        <v>45.351806640625</v>
      </c>
      <c r="T17" s="26">
        <f t="shared" si="14"/>
        <v>-305.41607284545898</v>
      </c>
      <c r="U17" s="26">
        <f t="shared" si="15"/>
        <v>2056.7863655686378</v>
      </c>
      <c r="V17" s="26">
        <v>58</v>
      </c>
      <c r="W17" s="26">
        <f t="shared" si="16"/>
        <v>13.265625</v>
      </c>
      <c r="X17" s="26">
        <f t="shared" si="17"/>
        <v>175.976806640625</v>
      </c>
      <c r="Y17" s="26">
        <f t="shared" si="18"/>
        <v>2334.442325592041</v>
      </c>
      <c r="Z17" s="26">
        <f t="shared" si="19"/>
        <v>30967.836475431919</v>
      </c>
      <c r="AA17" s="26">
        <v>118</v>
      </c>
      <c r="AB17" s="26">
        <f t="shared" si="20"/>
        <v>73.265625</v>
      </c>
      <c r="AC17" s="26">
        <f t="shared" si="21"/>
        <v>5367.851806640625</v>
      </c>
      <c r="AD17" s="26">
        <f t="shared" si="22"/>
        <v>393279.01752090454</v>
      </c>
      <c r="AE17" s="26">
        <f t="shared" si="23"/>
        <v>28813833.018055022</v>
      </c>
      <c r="AF17" s="26">
        <v>128.5</v>
      </c>
      <c r="AG17" s="26">
        <f t="shared" si="24"/>
        <v>83.765625</v>
      </c>
      <c r="AH17" s="26">
        <f t="shared" si="25"/>
        <v>7016.679931640625</v>
      </c>
      <c r="AI17" s="26">
        <f t="shared" si="26"/>
        <v>587756.57989883423</v>
      </c>
      <c r="AJ17" s="26">
        <f t="shared" si="27"/>
        <v>49233797.263088286</v>
      </c>
      <c r="AK17" s="26">
        <v>16.5</v>
      </c>
      <c r="AL17" s="26">
        <f t="shared" si="28"/>
        <v>-28.234375</v>
      </c>
      <c r="AM17" s="26">
        <f t="shared" si="29"/>
        <v>797.179931640625</v>
      </c>
      <c r="AN17" s="26">
        <f t="shared" si="30"/>
        <v>-22507.877132415771</v>
      </c>
      <c r="AO17" s="26">
        <f t="shared" si="31"/>
        <v>635495.84341055155</v>
      </c>
      <c r="AP17" s="26">
        <v>57</v>
      </c>
      <c r="AQ17" s="26">
        <f t="shared" si="32"/>
        <v>12.265625</v>
      </c>
      <c r="AR17" s="26">
        <f t="shared" si="33"/>
        <v>150.445556640625</v>
      </c>
      <c r="AS17" s="26">
        <f t="shared" si="34"/>
        <v>1845.308780670166</v>
      </c>
      <c r="AT17" s="26">
        <f t="shared" si="35"/>
        <v>22633.865512907505</v>
      </c>
      <c r="AU17" s="26">
        <v>21</v>
      </c>
      <c r="AV17" s="26">
        <f t="shared" si="36"/>
        <v>-23.734375</v>
      </c>
      <c r="AW17" s="26">
        <f t="shared" si="37"/>
        <v>563.320556640625</v>
      </c>
      <c r="AX17" s="26">
        <f t="shared" si="38"/>
        <v>-13370.061336517334</v>
      </c>
      <c r="AY17" s="26">
        <f t="shared" si="39"/>
        <v>317330.0495339036</v>
      </c>
      <c r="AZ17" s="26">
        <v>101</v>
      </c>
      <c r="BA17" s="26">
        <f t="shared" si="40"/>
        <v>56.265625</v>
      </c>
      <c r="BB17" s="26">
        <f t="shared" si="41"/>
        <v>3165.820556640625</v>
      </c>
      <c r="BC17" s="26">
        <f t="shared" si="42"/>
        <v>178126.87225723267</v>
      </c>
      <c r="BD17" s="26">
        <f t="shared" si="43"/>
        <v>10022419.796848357</v>
      </c>
    </row>
    <row r="18" spans="1:56" ht="12.75" hidden="1" customHeight="1" x14ac:dyDescent="0.2">
      <c r="A18" s="25" t="s">
        <v>17</v>
      </c>
      <c r="B18" s="26">
        <v>46</v>
      </c>
      <c r="C18" s="26">
        <f t="shared" si="0"/>
        <v>1.265625</v>
      </c>
      <c r="D18" s="26">
        <f t="shared" si="1"/>
        <v>1.601806640625</v>
      </c>
      <c r="E18" s="26">
        <f t="shared" si="2"/>
        <v>2.0272865295410156</v>
      </c>
      <c r="F18" s="26">
        <f t="shared" si="3"/>
        <v>2.5657845139503479</v>
      </c>
      <c r="G18" s="26">
        <v>45.5</v>
      </c>
      <c r="H18" s="26">
        <f t="shared" si="4"/>
        <v>0.765625</v>
      </c>
      <c r="I18" s="26">
        <f t="shared" si="5"/>
        <v>0.586181640625</v>
      </c>
      <c r="J18" s="26">
        <f t="shared" si="6"/>
        <v>0.44879531860351563</v>
      </c>
      <c r="K18" s="26">
        <f t="shared" si="7"/>
        <v>0.34360891580581665</v>
      </c>
      <c r="L18" s="26">
        <v>58</v>
      </c>
      <c r="M18" s="26">
        <f t="shared" si="8"/>
        <v>13.265625</v>
      </c>
      <c r="N18" s="26">
        <f t="shared" si="9"/>
        <v>175.976806640625</v>
      </c>
      <c r="O18" s="26">
        <f t="shared" si="10"/>
        <v>2334.442325592041</v>
      </c>
      <c r="P18" s="26">
        <f t="shared" si="11"/>
        <v>30967.836475431919</v>
      </c>
      <c r="Q18" s="26">
        <v>46</v>
      </c>
      <c r="R18" s="26">
        <f t="shared" si="12"/>
        <v>1.265625</v>
      </c>
      <c r="S18" s="26">
        <f t="shared" si="13"/>
        <v>1.601806640625</v>
      </c>
      <c r="T18" s="26">
        <f t="shared" si="14"/>
        <v>2.0272865295410156</v>
      </c>
      <c r="U18" s="26">
        <f t="shared" si="15"/>
        <v>2.5657845139503479</v>
      </c>
      <c r="V18" s="26">
        <v>54.5</v>
      </c>
      <c r="W18" s="26">
        <f t="shared" si="16"/>
        <v>9.765625</v>
      </c>
      <c r="X18" s="26">
        <f t="shared" si="17"/>
        <v>95.367431640625</v>
      </c>
      <c r="Y18" s="26">
        <f t="shared" si="18"/>
        <v>931.32257461547852</v>
      </c>
      <c r="Z18" s="26">
        <f t="shared" si="19"/>
        <v>9094.9470177292824</v>
      </c>
      <c r="AA18" s="26">
        <f>69+46</f>
        <v>115</v>
      </c>
      <c r="AB18" s="26">
        <f t="shared" si="20"/>
        <v>70.265625</v>
      </c>
      <c r="AC18" s="26">
        <f t="shared" si="21"/>
        <v>4937.258056640625</v>
      </c>
      <c r="AD18" s="26">
        <f t="shared" si="22"/>
        <v>346919.52313613892</v>
      </c>
      <c r="AE18" s="26">
        <f t="shared" si="23"/>
        <v>24376517.117862761</v>
      </c>
      <c r="AF18" s="26">
        <f>46+82</f>
        <v>128</v>
      </c>
      <c r="AG18" s="26">
        <f t="shared" si="24"/>
        <v>83.265625</v>
      </c>
      <c r="AH18" s="26">
        <f t="shared" si="25"/>
        <v>6933.164306640625</v>
      </c>
      <c r="AI18" s="26">
        <f t="shared" si="26"/>
        <v>577294.25922012329</v>
      </c>
      <c r="AJ18" s="26">
        <f t="shared" si="27"/>
        <v>48068767.302875578</v>
      </c>
      <c r="AK18" s="26">
        <v>15</v>
      </c>
      <c r="AL18" s="26">
        <f t="shared" si="28"/>
        <v>-29.734375</v>
      </c>
      <c r="AM18" s="26">
        <f t="shared" si="29"/>
        <v>884.133056640625</v>
      </c>
      <c r="AN18" s="26">
        <f t="shared" si="30"/>
        <v>-26289.143856048584</v>
      </c>
      <c r="AO18" s="26">
        <f t="shared" si="31"/>
        <v>781691.26184469461</v>
      </c>
      <c r="AP18" s="26">
        <v>56</v>
      </c>
      <c r="AQ18" s="26">
        <f t="shared" si="32"/>
        <v>11.265625</v>
      </c>
      <c r="AR18" s="26">
        <f t="shared" si="33"/>
        <v>126.914306640625</v>
      </c>
      <c r="AS18" s="26">
        <f t="shared" si="34"/>
        <v>1429.768985748291</v>
      </c>
      <c r="AT18" s="26">
        <f t="shared" si="35"/>
        <v>16107.241230070591</v>
      </c>
      <c r="AU18" s="26">
        <v>24</v>
      </c>
      <c r="AV18" s="26">
        <f t="shared" si="36"/>
        <v>-20.734375</v>
      </c>
      <c r="AW18" s="26">
        <f t="shared" si="37"/>
        <v>429.914306640625</v>
      </c>
      <c r="AX18" s="26">
        <f t="shared" si="38"/>
        <v>-8914.004451751709</v>
      </c>
      <c r="AY18" s="26">
        <f t="shared" si="39"/>
        <v>184826.31105428934</v>
      </c>
      <c r="AZ18" s="26">
        <v>100</v>
      </c>
      <c r="BA18" s="26">
        <f t="shared" si="40"/>
        <v>55.265625</v>
      </c>
      <c r="BB18" s="26">
        <f t="shared" si="41"/>
        <v>3054.289306640625</v>
      </c>
      <c r="BC18" s="26">
        <f t="shared" si="42"/>
        <v>168797.20746231079</v>
      </c>
      <c r="BD18" s="26">
        <f t="shared" si="43"/>
        <v>9328683.1686592698</v>
      </c>
    </row>
    <row r="19" spans="1:56" ht="12.75" hidden="1" customHeight="1" x14ac:dyDescent="0.2">
      <c r="A19" s="25" t="s">
        <v>18</v>
      </c>
      <c r="B19" s="26">
        <v>49.5</v>
      </c>
      <c r="C19" s="26">
        <f t="shared" si="0"/>
        <v>4.765625</v>
      </c>
      <c r="D19" s="26">
        <f t="shared" si="1"/>
        <v>22.711181640625</v>
      </c>
      <c r="E19" s="26">
        <f t="shared" si="2"/>
        <v>108.23297500610352</v>
      </c>
      <c r="F19" s="26">
        <f t="shared" si="3"/>
        <v>515.79777151346207</v>
      </c>
      <c r="G19" s="26">
        <v>50.5</v>
      </c>
      <c r="H19" s="26">
        <f t="shared" si="4"/>
        <v>5.765625</v>
      </c>
      <c r="I19" s="26">
        <f t="shared" si="5"/>
        <v>33.242431640625</v>
      </c>
      <c r="J19" s="26">
        <f t="shared" si="6"/>
        <v>191.66339492797852</v>
      </c>
      <c r="K19" s="26">
        <f t="shared" si="7"/>
        <v>1105.0592613816261</v>
      </c>
      <c r="L19" s="26">
        <v>45.5</v>
      </c>
      <c r="M19" s="26">
        <f t="shared" si="8"/>
        <v>0.765625</v>
      </c>
      <c r="N19" s="26">
        <f t="shared" si="9"/>
        <v>0.586181640625</v>
      </c>
      <c r="O19" s="26">
        <f t="shared" si="10"/>
        <v>0.44879531860351563</v>
      </c>
      <c r="P19" s="26">
        <f t="shared" si="11"/>
        <v>0.34360891580581665</v>
      </c>
      <c r="Q19" s="26">
        <v>41</v>
      </c>
      <c r="R19" s="26">
        <f t="shared" si="12"/>
        <v>-3.734375</v>
      </c>
      <c r="S19" s="26">
        <f t="shared" si="13"/>
        <v>13.945556640625</v>
      </c>
      <c r="T19" s="26">
        <f t="shared" si="14"/>
        <v>-52.077938079833984</v>
      </c>
      <c r="U19" s="26">
        <f t="shared" si="15"/>
        <v>194.47855001688004</v>
      </c>
      <c r="V19" s="26">
        <v>65</v>
      </c>
      <c r="W19" s="26">
        <f t="shared" si="16"/>
        <v>20.265625</v>
      </c>
      <c r="X19" s="26">
        <f t="shared" si="17"/>
        <v>410.695556640625</v>
      </c>
      <c r="Y19" s="26">
        <f t="shared" si="18"/>
        <v>8323.002140045166</v>
      </c>
      <c r="Z19" s="26">
        <f t="shared" si="19"/>
        <v>168670.84024435282</v>
      </c>
      <c r="AA19" s="26">
        <v>126.5</v>
      </c>
      <c r="AB19" s="26">
        <f t="shared" si="20"/>
        <v>81.765625</v>
      </c>
      <c r="AC19" s="26">
        <f t="shared" si="21"/>
        <v>6685.617431640625</v>
      </c>
      <c r="AD19" s="26">
        <f t="shared" si="22"/>
        <v>546653.68780899048</v>
      </c>
      <c r="AE19" s="26">
        <f t="shared" si="23"/>
        <v>44697480.442256987</v>
      </c>
      <c r="AF19" s="26">
        <v>136.5</v>
      </c>
      <c r="AG19" s="26">
        <f t="shared" si="24"/>
        <v>91.765625</v>
      </c>
      <c r="AH19" s="26">
        <f t="shared" si="25"/>
        <v>8420.929931640625</v>
      </c>
      <c r="AI19" s="26">
        <f t="shared" si="26"/>
        <v>772751.89825820923</v>
      </c>
      <c r="AJ19" s="26">
        <f t="shared" si="27"/>
        <v>70912060.913600981</v>
      </c>
      <c r="AK19" s="26">
        <v>16</v>
      </c>
      <c r="AL19" s="26">
        <f t="shared" si="28"/>
        <v>-28.734375</v>
      </c>
      <c r="AM19" s="26">
        <f t="shared" si="29"/>
        <v>825.664306640625</v>
      </c>
      <c r="AN19" s="26">
        <f t="shared" si="30"/>
        <v>-23724.947811126709</v>
      </c>
      <c r="AO19" s="26">
        <f t="shared" si="31"/>
        <v>681721.54726034403</v>
      </c>
      <c r="AP19" s="26">
        <v>60.5</v>
      </c>
      <c r="AQ19" s="26">
        <f t="shared" si="32"/>
        <v>15.765625</v>
      </c>
      <c r="AR19" s="26">
        <f t="shared" si="33"/>
        <v>248.554931640625</v>
      </c>
      <c r="AS19" s="26">
        <f t="shared" si="34"/>
        <v>3918.6238441467285</v>
      </c>
      <c r="AT19" s="26">
        <f t="shared" si="35"/>
        <v>61779.554042875767</v>
      </c>
      <c r="AU19" s="26">
        <v>28.5</v>
      </c>
      <c r="AV19" s="26">
        <f t="shared" si="36"/>
        <v>-16.234375</v>
      </c>
      <c r="AW19" s="26">
        <f t="shared" si="37"/>
        <v>263.554931640625</v>
      </c>
      <c r="AX19" s="26">
        <f t="shared" si="38"/>
        <v>-4278.6495933532715</v>
      </c>
      <c r="AY19" s="26">
        <f t="shared" si="39"/>
        <v>69461.201992094517</v>
      </c>
      <c r="AZ19" s="26">
        <v>109</v>
      </c>
      <c r="BA19" s="26">
        <f t="shared" si="40"/>
        <v>64.265625</v>
      </c>
      <c r="BB19" s="26">
        <f t="shared" si="41"/>
        <v>4130.070556640625</v>
      </c>
      <c r="BC19" s="26">
        <f t="shared" si="42"/>
        <v>265421.56561660767</v>
      </c>
      <c r="BD19" s="26">
        <f t="shared" si="43"/>
        <v>17057482.802829802</v>
      </c>
    </row>
    <row r="20" spans="1:56" ht="12.75" hidden="1" customHeight="1" x14ac:dyDescent="0.2">
      <c r="A20" s="25" t="s">
        <v>19</v>
      </c>
      <c r="B20" s="26">
        <v>43.5</v>
      </c>
      <c r="C20" s="26">
        <f t="shared" si="0"/>
        <v>-1.234375</v>
      </c>
      <c r="D20" s="26">
        <f t="shared" si="1"/>
        <v>1.523681640625</v>
      </c>
      <c r="E20" s="26">
        <f t="shared" si="2"/>
        <v>-1.8807945251464844</v>
      </c>
      <c r="F20" s="26">
        <f t="shared" si="3"/>
        <v>2.3216057419776917</v>
      </c>
      <c r="G20" s="26">
        <v>41</v>
      </c>
      <c r="H20" s="26">
        <f t="shared" si="4"/>
        <v>-3.734375</v>
      </c>
      <c r="I20" s="26">
        <f t="shared" si="5"/>
        <v>13.945556640625</v>
      </c>
      <c r="J20" s="26">
        <f t="shared" si="6"/>
        <v>-52.077938079833984</v>
      </c>
      <c r="K20" s="26">
        <f t="shared" si="7"/>
        <v>194.47855001688004</v>
      </c>
      <c r="L20" s="26">
        <v>43</v>
      </c>
      <c r="M20" s="26">
        <f t="shared" si="8"/>
        <v>-1.734375</v>
      </c>
      <c r="N20" s="26">
        <f t="shared" si="9"/>
        <v>3.008056640625</v>
      </c>
      <c r="O20" s="26">
        <f t="shared" si="10"/>
        <v>-5.2170982360839844</v>
      </c>
      <c r="P20" s="26">
        <f t="shared" si="11"/>
        <v>9.0484047532081604</v>
      </c>
      <c r="Q20" s="26">
        <v>44</v>
      </c>
      <c r="R20" s="26">
        <f t="shared" si="12"/>
        <v>-0.734375</v>
      </c>
      <c r="S20" s="26">
        <f t="shared" si="13"/>
        <v>0.539306640625</v>
      </c>
      <c r="T20" s="26">
        <f t="shared" si="14"/>
        <v>-0.39605331420898438</v>
      </c>
      <c r="U20" s="26">
        <f t="shared" si="15"/>
        <v>0.2908516526222229</v>
      </c>
      <c r="V20" s="26">
        <v>57.5</v>
      </c>
      <c r="W20" s="26">
        <f t="shared" si="16"/>
        <v>12.765625</v>
      </c>
      <c r="X20" s="26">
        <f t="shared" si="17"/>
        <v>162.961181640625</v>
      </c>
      <c r="Y20" s="26">
        <f t="shared" si="18"/>
        <v>2080.3013343811035</v>
      </c>
      <c r="Z20" s="26">
        <f t="shared" si="19"/>
        <v>26556.346721708775</v>
      </c>
      <c r="AA20" s="26">
        <f>78+43.5</f>
        <v>121.5</v>
      </c>
      <c r="AB20" s="26">
        <f t="shared" si="20"/>
        <v>76.765625</v>
      </c>
      <c r="AC20" s="26">
        <f t="shared" si="21"/>
        <v>5892.961181640625</v>
      </c>
      <c r="AD20" s="26">
        <f t="shared" si="22"/>
        <v>452376.8482093811</v>
      </c>
      <c r="AE20" s="26">
        <f t="shared" si="23"/>
        <v>34726991.488323271</v>
      </c>
      <c r="AF20" s="26">
        <f>88.5+43.5</f>
        <v>132</v>
      </c>
      <c r="AG20" s="26">
        <f t="shared" si="24"/>
        <v>87.265625</v>
      </c>
      <c r="AH20" s="26">
        <f t="shared" si="25"/>
        <v>7615.289306640625</v>
      </c>
      <c r="AI20" s="26">
        <f t="shared" si="26"/>
        <v>664552.98089981079</v>
      </c>
      <c r="AJ20" s="26">
        <f t="shared" si="27"/>
        <v>57992631.223835051</v>
      </c>
      <c r="AK20" s="26">
        <v>15</v>
      </c>
      <c r="AL20" s="26">
        <f t="shared" si="28"/>
        <v>-29.734375</v>
      </c>
      <c r="AM20" s="26">
        <f t="shared" si="29"/>
        <v>884.133056640625</v>
      </c>
      <c r="AN20" s="26">
        <f t="shared" si="30"/>
        <v>-26289.143856048584</v>
      </c>
      <c r="AO20" s="26">
        <f t="shared" si="31"/>
        <v>781691.26184469461</v>
      </c>
      <c r="AP20" s="26">
        <v>51</v>
      </c>
      <c r="AQ20" s="26">
        <f t="shared" si="32"/>
        <v>6.265625</v>
      </c>
      <c r="AR20" s="26">
        <f t="shared" si="33"/>
        <v>39.258056640625</v>
      </c>
      <c r="AS20" s="26">
        <f t="shared" si="34"/>
        <v>245.97626113891602</v>
      </c>
      <c r="AT20" s="26">
        <f t="shared" si="35"/>
        <v>1541.1950111985207</v>
      </c>
      <c r="AU20" s="26">
        <v>26</v>
      </c>
      <c r="AV20" s="26">
        <f t="shared" si="36"/>
        <v>-18.734375</v>
      </c>
      <c r="AW20" s="26">
        <f t="shared" si="37"/>
        <v>350.976806640625</v>
      </c>
      <c r="AX20" s="26">
        <f t="shared" si="38"/>
        <v>-6575.331111907959</v>
      </c>
      <c r="AY20" s="26">
        <f t="shared" si="39"/>
        <v>123184.71879965067</v>
      </c>
      <c r="AZ20" s="26">
        <v>98</v>
      </c>
      <c r="BA20" s="26">
        <f t="shared" si="40"/>
        <v>53.265625</v>
      </c>
      <c r="BB20" s="26">
        <f t="shared" si="41"/>
        <v>2837.226806640625</v>
      </c>
      <c r="BC20" s="26">
        <f t="shared" si="42"/>
        <v>151126.65912246704</v>
      </c>
      <c r="BD20" s="26">
        <f t="shared" si="43"/>
        <v>8049855.9523201585</v>
      </c>
    </row>
    <row r="21" spans="1:56" ht="12.75" hidden="1" customHeight="1" x14ac:dyDescent="0.2">
      <c r="A21" s="25" t="s">
        <v>20</v>
      </c>
      <c r="B21" s="26">
        <v>43.5</v>
      </c>
      <c r="C21" s="26">
        <f t="shared" si="0"/>
        <v>-1.234375</v>
      </c>
      <c r="D21" s="26">
        <f t="shared" si="1"/>
        <v>1.523681640625</v>
      </c>
      <c r="E21" s="26">
        <f t="shared" si="2"/>
        <v>-1.8807945251464844</v>
      </c>
      <c r="F21" s="26">
        <f t="shared" si="3"/>
        <v>2.3216057419776917</v>
      </c>
      <c r="G21" s="26">
        <v>41.5</v>
      </c>
      <c r="H21" s="26">
        <f t="shared" si="4"/>
        <v>-3.234375</v>
      </c>
      <c r="I21" s="26">
        <f t="shared" si="5"/>
        <v>10.461181640625</v>
      </c>
      <c r="J21" s="26">
        <f t="shared" si="6"/>
        <v>-33.835384368896484</v>
      </c>
      <c r="K21" s="26">
        <f t="shared" si="7"/>
        <v>109.43632131814957</v>
      </c>
      <c r="L21" s="26">
        <v>40</v>
      </c>
      <c r="M21" s="26">
        <f t="shared" si="8"/>
        <v>-4.734375</v>
      </c>
      <c r="N21" s="26">
        <f t="shared" si="9"/>
        <v>22.414306640625</v>
      </c>
      <c r="O21" s="26">
        <f t="shared" si="10"/>
        <v>-106.11773300170898</v>
      </c>
      <c r="P21" s="26">
        <f t="shared" si="11"/>
        <v>502.40114217996597</v>
      </c>
      <c r="Q21" s="26">
        <v>40</v>
      </c>
      <c r="R21" s="26">
        <f t="shared" si="12"/>
        <v>-4.734375</v>
      </c>
      <c r="S21" s="26">
        <f t="shared" si="13"/>
        <v>22.414306640625</v>
      </c>
      <c r="T21" s="26">
        <f t="shared" si="14"/>
        <v>-106.11773300170898</v>
      </c>
      <c r="U21" s="26">
        <f t="shared" si="15"/>
        <v>502.40114217996597</v>
      </c>
      <c r="V21" s="26">
        <v>56</v>
      </c>
      <c r="W21" s="26">
        <f t="shared" si="16"/>
        <v>11.265625</v>
      </c>
      <c r="X21" s="26">
        <f t="shared" si="17"/>
        <v>126.914306640625</v>
      </c>
      <c r="Y21" s="26">
        <f t="shared" si="18"/>
        <v>1429.768985748291</v>
      </c>
      <c r="Z21" s="26">
        <f t="shared" si="19"/>
        <v>16107.241230070591</v>
      </c>
      <c r="AA21" s="26">
        <v>112.5</v>
      </c>
      <c r="AB21" s="26">
        <f t="shared" si="20"/>
        <v>67.765625</v>
      </c>
      <c r="AC21" s="26">
        <f t="shared" si="21"/>
        <v>4592.179931640625</v>
      </c>
      <c r="AD21" s="26">
        <f t="shared" si="22"/>
        <v>311191.94318008423</v>
      </c>
      <c r="AE21" s="26">
        <f t="shared" si="23"/>
        <v>21088116.524562895</v>
      </c>
      <c r="AF21" s="26">
        <v>123.5</v>
      </c>
      <c r="AG21" s="26">
        <f t="shared" si="24"/>
        <v>78.765625</v>
      </c>
      <c r="AH21" s="26">
        <f t="shared" si="25"/>
        <v>6204.023681640625</v>
      </c>
      <c r="AI21" s="26">
        <f t="shared" si="26"/>
        <v>488663.80279922485</v>
      </c>
      <c r="AJ21" s="26">
        <f t="shared" si="27"/>
        <v>38489909.842357695</v>
      </c>
      <c r="AK21" s="26">
        <v>16</v>
      </c>
      <c r="AL21" s="26">
        <f t="shared" si="28"/>
        <v>-28.734375</v>
      </c>
      <c r="AM21" s="26">
        <f t="shared" si="29"/>
        <v>825.664306640625</v>
      </c>
      <c r="AN21" s="26">
        <f t="shared" si="30"/>
        <v>-23724.947811126709</v>
      </c>
      <c r="AO21" s="26">
        <f t="shared" si="31"/>
        <v>681721.54726034403</v>
      </c>
      <c r="AP21" s="26">
        <v>52</v>
      </c>
      <c r="AQ21" s="26">
        <f t="shared" si="32"/>
        <v>7.265625</v>
      </c>
      <c r="AR21" s="26">
        <f t="shared" si="33"/>
        <v>52.789306640625</v>
      </c>
      <c r="AS21" s="26">
        <f t="shared" si="34"/>
        <v>383.54730606079102</v>
      </c>
      <c r="AT21" s="26">
        <f t="shared" si="35"/>
        <v>2786.7108955979347</v>
      </c>
      <c r="AU21" s="26">
        <v>26</v>
      </c>
      <c r="AV21" s="26">
        <f t="shared" si="36"/>
        <v>-18.734375</v>
      </c>
      <c r="AW21" s="26">
        <f t="shared" si="37"/>
        <v>350.976806640625</v>
      </c>
      <c r="AX21" s="26">
        <f t="shared" si="38"/>
        <v>-6575.331111907959</v>
      </c>
      <c r="AY21" s="26">
        <f t="shared" si="39"/>
        <v>123184.71879965067</v>
      </c>
      <c r="AZ21" s="26">
        <v>98</v>
      </c>
      <c r="BA21" s="26">
        <f t="shared" si="40"/>
        <v>53.265625</v>
      </c>
      <c r="BB21" s="26">
        <f t="shared" si="41"/>
        <v>2837.226806640625</v>
      </c>
      <c r="BC21" s="26">
        <f t="shared" si="42"/>
        <v>151126.65912246704</v>
      </c>
      <c r="BD21" s="26">
        <f t="shared" si="43"/>
        <v>8049855.9523201585</v>
      </c>
    </row>
    <row r="22" spans="1:56" ht="12.75" hidden="1" customHeight="1" x14ac:dyDescent="0.2">
      <c r="A22" s="25" t="s">
        <v>21</v>
      </c>
      <c r="B22" s="26">
        <v>42</v>
      </c>
      <c r="C22" s="26">
        <f t="shared" si="0"/>
        <v>-2.734375</v>
      </c>
      <c r="D22" s="26">
        <f t="shared" si="1"/>
        <v>7.476806640625</v>
      </c>
      <c r="E22" s="26">
        <f t="shared" si="2"/>
        <v>-20.444393157958984</v>
      </c>
      <c r="F22" s="26">
        <f t="shared" si="3"/>
        <v>55.902637541294098</v>
      </c>
      <c r="G22" s="26">
        <v>45</v>
      </c>
      <c r="H22" s="26">
        <f t="shared" si="4"/>
        <v>0.265625</v>
      </c>
      <c r="I22" s="26">
        <f t="shared" si="5"/>
        <v>7.0556640625E-2</v>
      </c>
      <c r="J22" s="26">
        <f t="shared" si="6"/>
        <v>1.8741607666015625E-2</v>
      </c>
      <c r="K22" s="26">
        <f t="shared" si="7"/>
        <v>4.9782395362854004E-3</v>
      </c>
      <c r="L22" s="26">
        <v>40.5</v>
      </c>
      <c r="M22" s="26">
        <f t="shared" si="8"/>
        <v>-4.234375</v>
      </c>
      <c r="N22" s="26">
        <f t="shared" si="9"/>
        <v>17.929931640625</v>
      </c>
      <c r="O22" s="26">
        <f t="shared" si="10"/>
        <v>-75.922054290771484</v>
      </c>
      <c r="P22" s="26">
        <f t="shared" si="11"/>
        <v>321.4824486374855</v>
      </c>
      <c r="Q22" s="26">
        <v>44</v>
      </c>
      <c r="R22" s="26">
        <f t="shared" si="12"/>
        <v>-0.734375</v>
      </c>
      <c r="S22" s="26">
        <f t="shared" si="13"/>
        <v>0.539306640625</v>
      </c>
      <c r="T22" s="26">
        <f t="shared" si="14"/>
        <v>-0.39605331420898438</v>
      </c>
      <c r="U22" s="26">
        <f t="shared" si="15"/>
        <v>0.2908516526222229</v>
      </c>
      <c r="V22" s="26">
        <v>53</v>
      </c>
      <c r="W22" s="26">
        <f t="shared" si="16"/>
        <v>8.265625</v>
      </c>
      <c r="X22" s="26">
        <f t="shared" si="17"/>
        <v>68.320556640625</v>
      </c>
      <c r="Y22" s="26">
        <f t="shared" si="18"/>
        <v>564.71210098266602</v>
      </c>
      <c r="Z22" s="26">
        <f t="shared" si="19"/>
        <v>4667.6984596848488</v>
      </c>
      <c r="AA22" s="26">
        <f>69+42</f>
        <v>111</v>
      </c>
      <c r="AB22" s="26">
        <f t="shared" si="20"/>
        <v>66.265625</v>
      </c>
      <c r="AC22" s="26">
        <f t="shared" si="21"/>
        <v>4391.133056640625</v>
      </c>
      <c r="AD22" s="26">
        <f t="shared" si="22"/>
        <v>290981.17645645142</v>
      </c>
      <c r="AE22" s="26">
        <f t="shared" si="23"/>
        <v>19282049.521122038</v>
      </c>
      <c r="AF22" s="26">
        <f>79+42</f>
        <v>121</v>
      </c>
      <c r="AG22" s="26">
        <f t="shared" si="24"/>
        <v>76.265625</v>
      </c>
      <c r="AH22" s="26">
        <f t="shared" si="25"/>
        <v>5816.445556640625</v>
      </c>
      <c r="AI22" s="26">
        <f t="shared" si="26"/>
        <v>443594.85565567017</v>
      </c>
      <c r="AJ22" s="26">
        <f t="shared" si="27"/>
        <v>33831038.91336447</v>
      </c>
      <c r="AK22" s="26">
        <v>17</v>
      </c>
      <c r="AL22" s="26">
        <f t="shared" si="28"/>
        <v>-27.734375</v>
      </c>
      <c r="AM22" s="26">
        <f t="shared" si="29"/>
        <v>769.195556640625</v>
      </c>
      <c r="AN22" s="26">
        <f t="shared" si="30"/>
        <v>-21333.158016204834</v>
      </c>
      <c r="AO22" s="26">
        <f t="shared" si="31"/>
        <v>591661.80435568094</v>
      </c>
      <c r="AP22" s="26">
        <v>53</v>
      </c>
      <c r="AQ22" s="26">
        <f t="shared" si="32"/>
        <v>8.265625</v>
      </c>
      <c r="AR22" s="26">
        <f t="shared" si="33"/>
        <v>68.320556640625</v>
      </c>
      <c r="AS22" s="26">
        <f t="shared" si="34"/>
        <v>564.71210098266602</v>
      </c>
      <c r="AT22" s="26">
        <f t="shared" si="35"/>
        <v>4667.6984596848488</v>
      </c>
      <c r="AU22" s="26">
        <v>28</v>
      </c>
      <c r="AV22" s="26">
        <f t="shared" si="36"/>
        <v>-16.734375</v>
      </c>
      <c r="AW22" s="26">
        <f t="shared" si="37"/>
        <v>280.039306640625</v>
      </c>
      <c r="AX22" s="26">
        <f t="shared" si="38"/>
        <v>-4686.282772064209</v>
      </c>
      <c r="AY22" s="26">
        <f t="shared" si="39"/>
        <v>78422.013263761997</v>
      </c>
      <c r="AZ22" s="26">
        <v>101</v>
      </c>
      <c r="BA22" s="26">
        <f t="shared" si="40"/>
        <v>56.265625</v>
      </c>
      <c r="BB22" s="26">
        <f t="shared" si="41"/>
        <v>3165.820556640625</v>
      </c>
      <c r="BC22" s="26">
        <f t="shared" si="42"/>
        <v>178126.87225723267</v>
      </c>
      <c r="BD22" s="26">
        <f t="shared" si="43"/>
        <v>10022419.796848357</v>
      </c>
    </row>
    <row r="23" spans="1:56" ht="12.75" hidden="1" customHeight="1" x14ac:dyDescent="0.2">
      <c r="A23" s="25" t="s">
        <v>22</v>
      </c>
      <c r="B23" s="26">
        <v>42</v>
      </c>
      <c r="C23" s="26">
        <f t="shared" si="0"/>
        <v>-2.734375</v>
      </c>
      <c r="D23" s="26">
        <f t="shared" si="1"/>
        <v>7.476806640625</v>
      </c>
      <c r="E23" s="26">
        <f t="shared" si="2"/>
        <v>-20.444393157958984</v>
      </c>
      <c r="F23" s="26">
        <f t="shared" si="3"/>
        <v>55.902637541294098</v>
      </c>
      <c r="G23" s="26">
        <v>40.5</v>
      </c>
      <c r="H23" s="26">
        <f t="shared" si="4"/>
        <v>-4.234375</v>
      </c>
      <c r="I23" s="26">
        <f t="shared" si="5"/>
        <v>17.929931640625</v>
      </c>
      <c r="J23" s="26">
        <f t="shared" si="6"/>
        <v>-75.922054290771484</v>
      </c>
      <c r="K23" s="26">
        <f t="shared" si="7"/>
        <v>321.4824486374855</v>
      </c>
      <c r="L23" s="26">
        <v>37</v>
      </c>
      <c r="M23" s="26">
        <f t="shared" si="8"/>
        <v>-7.734375</v>
      </c>
      <c r="N23" s="26">
        <f t="shared" si="9"/>
        <v>59.820556640625</v>
      </c>
      <c r="O23" s="26">
        <f t="shared" si="10"/>
        <v>-462.67461776733398</v>
      </c>
      <c r="P23" s="26">
        <f t="shared" si="11"/>
        <v>3578.4989967942238</v>
      </c>
      <c r="Q23" s="26">
        <v>39</v>
      </c>
      <c r="R23" s="26">
        <f t="shared" si="12"/>
        <v>-5.734375</v>
      </c>
      <c r="S23" s="26">
        <f t="shared" si="13"/>
        <v>32.883056640625</v>
      </c>
      <c r="T23" s="26">
        <f t="shared" si="14"/>
        <v>-188.56377792358398</v>
      </c>
      <c r="U23" s="26">
        <f t="shared" si="15"/>
        <v>1081.2954140305519</v>
      </c>
      <c r="V23" s="26">
        <v>50.5</v>
      </c>
      <c r="W23" s="26">
        <f t="shared" si="16"/>
        <v>5.765625</v>
      </c>
      <c r="X23" s="26">
        <f t="shared" si="17"/>
        <v>33.242431640625</v>
      </c>
      <c r="Y23" s="26">
        <f t="shared" si="18"/>
        <v>191.66339492797852</v>
      </c>
      <c r="Z23" s="26">
        <f t="shared" si="19"/>
        <v>1105.0592613816261</v>
      </c>
      <c r="AA23" s="26">
        <v>109</v>
      </c>
      <c r="AB23" s="26">
        <f t="shared" si="20"/>
        <v>64.265625</v>
      </c>
      <c r="AC23" s="26">
        <f t="shared" si="21"/>
        <v>4130.070556640625</v>
      </c>
      <c r="AD23" s="26">
        <f t="shared" si="22"/>
        <v>265421.56561660767</v>
      </c>
      <c r="AE23" s="26">
        <f t="shared" si="23"/>
        <v>17057482.802829802</v>
      </c>
      <c r="AF23" s="26">
        <v>120</v>
      </c>
      <c r="AG23" s="26">
        <f t="shared" si="24"/>
        <v>75.265625</v>
      </c>
      <c r="AH23" s="26">
        <f t="shared" si="25"/>
        <v>5664.914306640625</v>
      </c>
      <c r="AI23" s="26">
        <f t="shared" si="26"/>
        <v>426373.31586074829</v>
      </c>
      <c r="AJ23" s="26">
        <f t="shared" si="27"/>
        <v>32091254.101581633</v>
      </c>
      <c r="AK23" s="26">
        <v>14</v>
      </c>
      <c r="AL23" s="26">
        <f t="shared" si="28"/>
        <v>-30.734375</v>
      </c>
      <c r="AM23" s="26">
        <f t="shared" si="29"/>
        <v>944.601806640625</v>
      </c>
      <c r="AN23" s="26">
        <f t="shared" si="30"/>
        <v>-29031.746150970459</v>
      </c>
      <c r="AO23" s="26">
        <f t="shared" si="31"/>
        <v>892272.5731087327</v>
      </c>
      <c r="AP23" s="26">
        <v>50.5</v>
      </c>
      <c r="AQ23" s="26">
        <f t="shared" si="32"/>
        <v>5.765625</v>
      </c>
      <c r="AR23" s="26">
        <f t="shared" si="33"/>
        <v>33.242431640625</v>
      </c>
      <c r="AS23" s="26">
        <f t="shared" si="34"/>
        <v>191.66339492797852</v>
      </c>
      <c r="AT23" s="26">
        <f t="shared" si="35"/>
        <v>1105.0592613816261</v>
      </c>
      <c r="AU23" s="26">
        <v>23.5</v>
      </c>
      <c r="AV23" s="26">
        <f t="shared" si="36"/>
        <v>-21.234375</v>
      </c>
      <c r="AW23" s="26">
        <f t="shared" si="37"/>
        <v>450.898681640625</v>
      </c>
      <c r="AX23" s="26">
        <f t="shared" si="38"/>
        <v>-9574.5516929626465</v>
      </c>
      <c r="AY23" s="26">
        <f t="shared" si="39"/>
        <v>203309.6211052537</v>
      </c>
      <c r="AZ23" s="26">
        <v>101</v>
      </c>
      <c r="BA23" s="26">
        <f t="shared" si="40"/>
        <v>56.265625</v>
      </c>
      <c r="BB23" s="26">
        <f t="shared" si="41"/>
        <v>3165.820556640625</v>
      </c>
      <c r="BC23" s="26">
        <f t="shared" si="42"/>
        <v>178126.87225723267</v>
      </c>
      <c r="BD23" s="26">
        <f t="shared" si="43"/>
        <v>10022419.796848357</v>
      </c>
    </row>
    <row r="24" spans="1:56" ht="12.75" hidden="1" customHeight="1" x14ac:dyDescent="0.2">
      <c r="A24" s="25" t="s">
        <v>23</v>
      </c>
      <c r="B24" s="26">
        <v>40.5</v>
      </c>
      <c r="C24" s="26">
        <f t="shared" si="0"/>
        <v>-4.234375</v>
      </c>
      <c r="D24" s="26">
        <f t="shared" si="1"/>
        <v>17.929931640625</v>
      </c>
      <c r="E24" s="26">
        <f t="shared" si="2"/>
        <v>-75.922054290771484</v>
      </c>
      <c r="F24" s="26">
        <f t="shared" si="3"/>
        <v>321.4824486374855</v>
      </c>
      <c r="G24" s="26">
        <v>36.5</v>
      </c>
      <c r="H24" s="26">
        <f t="shared" si="4"/>
        <v>-8.234375</v>
      </c>
      <c r="I24" s="26">
        <f t="shared" si="5"/>
        <v>67.804931640625</v>
      </c>
      <c r="J24" s="26">
        <f t="shared" si="6"/>
        <v>-558.33123397827148</v>
      </c>
      <c r="K24" s="26">
        <f t="shared" si="7"/>
        <v>4597.5087547898293</v>
      </c>
      <c r="L24" s="26">
        <v>43.5</v>
      </c>
      <c r="M24" s="26">
        <f t="shared" si="8"/>
        <v>-1.234375</v>
      </c>
      <c r="N24" s="26">
        <f t="shared" si="9"/>
        <v>1.523681640625</v>
      </c>
      <c r="O24" s="26">
        <f t="shared" si="10"/>
        <v>-1.8807945251464844</v>
      </c>
      <c r="P24" s="26">
        <f t="shared" si="11"/>
        <v>2.3216057419776917</v>
      </c>
      <c r="Q24" s="26">
        <v>44</v>
      </c>
      <c r="R24" s="26">
        <f t="shared" si="12"/>
        <v>-0.734375</v>
      </c>
      <c r="S24" s="26">
        <f t="shared" si="13"/>
        <v>0.539306640625</v>
      </c>
      <c r="T24" s="26">
        <f t="shared" si="14"/>
        <v>-0.39605331420898438</v>
      </c>
      <c r="U24" s="26">
        <f t="shared" si="15"/>
        <v>0.2908516526222229</v>
      </c>
      <c r="V24" s="26">
        <v>53.5</v>
      </c>
      <c r="W24" s="26">
        <f t="shared" si="16"/>
        <v>8.765625</v>
      </c>
      <c r="X24" s="26">
        <f t="shared" si="17"/>
        <v>76.836181640625</v>
      </c>
      <c r="Y24" s="26">
        <f t="shared" si="18"/>
        <v>673.51715469360352</v>
      </c>
      <c r="Z24" s="26">
        <f t="shared" si="19"/>
        <v>5903.7988091111183</v>
      </c>
      <c r="AA24" s="26">
        <v>108</v>
      </c>
      <c r="AB24" s="26">
        <f t="shared" si="20"/>
        <v>63.265625</v>
      </c>
      <c r="AC24" s="26">
        <f t="shared" si="21"/>
        <v>4002.539306640625</v>
      </c>
      <c r="AD24" s="26">
        <f t="shared" si="22"/>
        <v>253223.15082168579</v>
      </c>
      <c r="AE24" s="26">
        <f t="shared" si="23"/>
        <v>16020320.901203215</v>
      </c>
      <c r="AF24" s="26">
        <v>118</v>
      </c>
      <c r="AG24" s="26">
        <f t="shared" si="24"/>
        <v>73.265625</v>
      </c>
      <c r="AH24" s="26">
        <f t="shared" si="25"/>
        <v>5367.851806640625</v>
      </c>
      <c r="AI24" s="26">
        <f t="shared" si="26"/>
        <v>393279.01752090454</v>
      </c>
      <c r="AJ24" s="26">
        <f t="shared" si="27"/>
        <v>28813833.018055022</v>
      </c>
      <c r="AK24" s="26">
        <v>16</v>
      </c>
      <c r="AL24" s="26">
        <f t="shared" si="28"/>
        <v>-28.734375</v>
      </c>
      <c r="AM24" s="26">
        <f t="shared" si="29"/>
        <v>825.664306640625</v>
      </c>
      <c r="AN24" s="26">
        <f t="shared" si="30"/>
        <v>-23724.947811126709</v>
      </c>
      <c r="AO24" s="26">
        <f t="shared" si="31"/>
        <v>681721.54726034403</v>
      </c>
      <c r="AP24" s="26">
        <v>50</v>
      </c>
      <c r="AQ24" s="26">
        <f t="shared" si="32"/>
        <v>5.265625</v>
      </c>
      <c r="AR24" s="26">
        <f t="shared" si="33"/>
        <v>27.726806640625</v>
      </c>
      <c r="AS24" s="26">
        <f t="shared" si="34"/>
        <v>145.99896621704102</v>
      </c>
      <c r="AT24" s="26">
        <f t="shared" si="35"/>
        <v>768.7758064866066</v>
      </c>
      <c r="AU24" s="26">
        <v>25</v>
      </c>
      <c r="AV24" s="26">
        <f t="shared" si="36"/>
        <v>-19.734375</v>
      </c>
      <c r="AW24" s="26">
        <f t="shared" si="37"/>
        <v>389.445556640625</v>
      </c>
      <c r="AX24" s="26">
        <f t="shared" si="38"/>
        <v>-7685.464656829834</v>
      </c>
      <c r="AY24" s="26">
        <f t="shared" si="39"/>
        <v>151667.84158712626</v>
      </c>
      <c r="AZ24" s="26">
        <v>101</v>
      </c>
      <c r="BA24" s="26">
        <f t="shared" si="40"/>
        <v>56.265625</v>
      </c>
      <c r="BB24" s="26">
        <f t="shared" si="41"/>
        <v>3165.820556640625</v>
      </c>
      <c r="BC24" s="26">
        <f t="shared" si="42"/>
        <v>178126.87225723267</v>
      </c>
      <c r="BD24" s="26">
        <f t="shared" si="43"/>
        <v>10022419.796848357</v>
      </c>
    </row>
    <row r="25" spans="1:56" ht="12.75" hidden="1" customHeight="1" x14ac:dyDescent="0.2">
      <c r="A25" s="25" t="s">
        <v>24</v>
      </c>
      <c r="B25" s="26">
        <v>46</v>
      </c>
      <c r="C25" s="26">
        <f t="shared" si="0"/>
        <v>1.265625</v>
      </c>
      <c r="D25" s="26">
        <f t="shared" si="1"/>
        <v>1.601806640625</v>
      </c>
      <c r="E25" s="26">
        <f t="shared" si="2"/>
        <v>2.0272865295410156</v>
      </c>
      <c r="F25" s="26">
        <f t="shared" si="3"/>
        <v>2.5657845139503479</v>
      </c>
      <c r="G25" s="26">
        <v>47</v>
      </c>
      <c r="H25" s="26">
        <f t="shared" si="4"/>
        <v>2.265625</v>
      </c>
      <c r="I25" s="26">
        <f t="shared" si="5"/>
        <v>5.133056640625</v>
      </c>
      <c r="J25" s="26">
        <f t="shared" si="6"/>
        <v>11.629581451416016</v>
      </c>
      <c r="K25" s="26">
        <f t="shared" si="7"/>
        <v>26.34827047586441</v>
      </c>
      <c r="L25" s="26">
        <v>39</v>
      </c>
      <c r="M25" s="26">
        <f t="shared" si="8"/>
        <v>-5.734375</v>
      </c>
      <c r="N25" s="26">
        <f t="shared" si="9"/>
        <v>32.883056640625</v>
      </c>
      <c r="O25" s="26">
        <f t="shared" si="10"/>
        <v>-188.56377792358398</v>
      </c>
      <c r="P25" s="26">
        <f t="shared" si="11"/>
        <v>1081.2954140305519</v>
      </c>
      <c r="Q25" s="26">
        <v>46</v>
      </c>
      <c r="R25" s="26">
        <f t="shared" si="12"/>
        <v>1.265625</v>
      </c>
      <c r="S25" s="26">
        <f t="shared" si="13"/>
        <v>1.601806640625</v>
      </c>
      <c r="T25" s="26">
        <f t="shared" si="14"/>
        <v>2.0272865295410156</v>
      </c>
      <c r="U25" s="26">
        <f t="shared" si="15"/>
        <v>2.5657845139503479</v>
      </c>
      <c r="V25" s="26">
        <v>56</v>
      </c>
      <c r="W25" s="26">
        <f t="shared" si="16"/>
        <v>11.265625</v>
      </c>
      <c r="X25" s="26">
        <f t="shared" si="17"/>
        <v>126.914306640625</v>
      </c>
      <c r="Y25" s="26">
        <f t="shared" si="18"/>
        <v>1429.768985748291</v>
      </c>
      <c r="Z25" s="26">
        <f t="shared" si="19"/>
        <v>16107.241230070591</v>
      </c>
      <c r="AA25" s="26">
        <v>102</v>
      </c>
      <c r="AB25" s="26">
        <f t="shared" si="20"/>
        <v>57.265625</v>
      </c>
      <c r="AC25" s="26">
        <f t="shared" si="21"/>
        <v>3279.351806640625</v>
      </c>
      <c r="AD25" s="26">
        <f t="shared" si="22"/>
        <v>187794.13080215454</v>
      </c>
      <c r="AE25" s="26">
        <f t="shared" si="23"/>
        <v>10754148.271717131</v>
      </c>
      <c r="AF25" s="26">
        <f>84+46</f>
        <v>130</v>
      </c>
      <c r="AG25" s="26">
        <f t="shared" si="24"/>
        <v>85.265625</v>
      </c>
      <c r="AH25" s="26">
        <f t="shared" si="25"/>
        <v>7270.226806640625</v>
      </c>
      <c r="AI25" s="26">
        <f t="shared" si="26"/>
        <v>619900.43255996704</v>
      </c>
      <c r="AJ25" s="26">
        <f t="shared" si="27"/>
        <v>52856197.81999594</v>
      </c>
      <c r="AK25" s="26">
        <v>17</v>
      </c>
      <c r="AL25" s="26">
        <f t="shared" si="28"/>
        <v>-27.734375</v>
      </c>
      <c r="AM25" s="26">
        <f t="shared" si="29"/>
        <v>769.195556640625</v>
      </c>
      <c r="AN25" s="26">
        <f t="shared" si="30"/>
        <v>-21333.158016204834</v>
      </c>
      <c r="AO25" s="26">
        <f t="shared" si="31"/>
        <v>591661.80435568094</v>
      </c>
      <c r="AP25" s="26">
        <v>61</v>
      </c>
      <c r="AQ25" s="26">
        <f t="shared" si="32"/>
        <v>16.265625</v>
      </c>
      <c r="AR25" s="26">
        <f t="shared" si="33"/>
        <v>264.570556640625</v>
      </c>
      <c r="AS25" s="26">
        <f t="shared" si="34"/>
        <v>4303.405460357666</v>
      </c>
      <c r="AT25" s="26">
        <f t="shared" si="35"/>
        <v>69997.579441130161</v>
      </c>
      <c r="AU25" s="26">
        <v>20</v>
      </c>
      <c r="AV25" s="26">
        <f t="shared" si="36"/>
        <v>-24.734375</v>
      </c>
      <c r="AW25" s="26">
        <f t="shared" si="37"/>
        <v>611.789306640625</v>
      </c>
      <c r="AX25" s="26">
        <f t="shared" si="38"/>
        <v>-15132.226131439209</v>
      </c>
      <c r="AY25" s="26">
        <f t="shared" si="39"/>
        <v>374286.15571981668</v>
      </c>
      <c r="AZ25" s="26">
        <v>101</v>
      </c>
      <c r="BA25" s="26">
        <f t="shared" si="40"/>
        <v>56.265625</v>
      </c>
      <c r="BB25" s="26">
        <f t="shared" si="41"/>
        <v>3165.820556640625</v>
      </c>
      <c r="BC25" s="26">
        <f t="shared" si="42"/>
        <v>178126.87225723267</v>
      </c>
      <c r="BD25" s="26">
        <f t="shared" si="43"/>
        <v>10022419.796848357</v>
      </c>
    </row>
    <row r="26" spans="1:56" ht="12.75" hidden="1" customHeight="1" x14ac:dyDescent="0.2">
      <c r="A26" s="25" t="s">
        <v>25</v>
      </c>
      <c r="B26" s="26">
        <v>40.5</v>
      </c>
      <c r="C26" s="26">
        <f t="shared" si="0"/>
        <v>-4.234375</v>
      </c>
      <c r="D26" s="26">
        <f t="shared" si="1"/>
        <v>17.929931640625</v>
      </c>
      <c r="E26" s="26">
        <f t="shared" si="2"/>
        <v>-75.922054290771484</v>
      </c>
      <c r="F26" s="26">
        <f t="shared" si="3"/>
        <v>321.4824486374855</v>
      </c>
      <c r="G26" s="26">
        <v>44.5</v>
      </c>
      <c r="H26" s="26">
        <f t="shared" si="4"/>
        <v>-0.234375</v>
      </c>
      <c r="I26" s="26">
        <f t="shared" si="5"/>
        <v>5.4931640625E-2</v>
      </c>
      <c r="J26" s="26">
        <f t="shared" si="6"/>
        <v>-1.2874603271484375E-2</v>
      </c>
      <c r="K26" s="26">
        <f t="shared" si="7"/>
        <v>3.0174851417541504E-3</v>
      </c>
      <c r="L26" s="26">
        <v>40.5</v>
      </c>
      <c r="M26" s="26">
        <f t="shared" si="8"/>
        <v>-4.234375</v>
      </c>
      <c r="N26" s="26">
        <f t="shared" si="9"/>
        <v>17.929931640625</v>
      </c>
      <c r="O26" s="26">
        <f t="shared" si="10"/>
        <v>-75.922054290771484</v>
      </c>
      <c r="P26" s="26">
        <f t="shared" si="11"/>
        <v>321.4824486374855</v>
      </c>
      <c r="Q26" s="26">
        <v>39.5</v>
      </c>
      <c r="R26" s="26">
        <f t="shared" si="12"/>
        <v>-5.234375</v>
      </c>
      <c r="S26" s="26">
        <f t="shared" si="13"/>
        <v>27.398681640625</v>
      </c>
      <c r="T26" s="26">
        <f t="shared" si="14"/>
        <v>-143.41497421264648</v>
      </c>
      <c r="U26" s="26">
        <f t="shared" si="15"/>
        <v>750.68775564432144</v>
      </c>
      <c r="V26" s="26">
        <v>55</v>
      </c>
      <c r="W26" s="26">
        <f t="shared" si="16"/>
        <v>10.265625</v>
      </c>
      <c r="X26" s="26">
        <f t="shared" si="17"/>
        <v>105.383056640625</v>
      </c>
      <c r="Y26" s="26">
        <f t="shared" si="18"/>
        <v>1081.822940826416</v>
      </c>
      <c r="Z26" s="26">
        <f t="shared" si="19"/>
        <v>11105.588626921177</v>
      </c>
      <c r="AA26" s="26">
        <v>109</v>
      </c>
      <c r="AB26" s="26">
        <f t="shared" si="20"/>
        <v>64.265625</v>
      </c>
      <c r="AC26" s="26">
        <f t="shared" si="21"/>
        <v>4130.070556640625</v>
      </c>
      <c r="AD26" s="26">
        <f t="shared" si="22"/>
        <v>265421.56561660767</v>
      </c>
      <c r="AE26" s="26">
        <f t="shared" si="23"/>
        <v>17057482.802829802</v>
      </c>
      <c r="AF26" s="26">
        <v>119</v>
      </c>
      <c r="AG26" s="26">
        <f t="shared" si="24"/>
        <v>74.265625</v>
      </c>
      <c r="AH26" s="26">
        <f t="shared" si="25"/>
        <v>5515.383056640625</v>
      </c>
      <c r="AI26" s="26">
        <f t="shared" si="26"/>
        <v>409603.36981582642</v>
      </c>
      <c r="AJ26" s="26">
        <f t="shared" si="27"/>
        <v>30419450.261478484</v>
      </c>
      <c r="AK26" s="26">
        <v>15.5</v>
      </c>
      <c r="AL26" s="26">
        <f t="shared" si="28"/>
        <v>-29.234375</v>
      </c>
      <c r="AM26" s="26">
        <f t="shared" si="29"/>
        <v>854.648681640625</v>
      </c>
      <c r="AN26" s="26">
        <f t="shared" si="30"/>
        <v>-24985.120052337646</v>
      </c>
      <c r="AO26" s="26">
        <f t="shared" si="31"/>
        <v>730424.36903005838</v>
      </c>
      <c r="AP26" s="26">
        <v>55</v>
      </c>
      <c r="AQ26" s="26">
        <f t="shared" si="32"/>
        <v>10.265625</v>
      </c>
      <c r="AR26" s="26">
        <f t="shared" si="33"/>
        <v>105.383056640625</v>
      </c>
      <c r="AS26" s="26">
        <f t="shared" si="34"/>
        <v>1081.822940826416</v>
      </c>
      <c r="AT26" s="26">
        <f t="shared" si="35"/>
        <v>11105.588626921177</v>
      </c>
      <c r="AU26" s="26">
        <v>25</v>
      </c>
      <c r="AV26" s="26">
        <f t="shared" si="36"/>
        <v>-19.734375</v>
      </c>
      <c r="AW26" s="26">
        <f t="shared" si="37"/>
        <v>389.445556640625</v>
      </c>
      <c r="AX26" s="26">
        <f t="shared" si="38"/>
        <v>-7685.464656829834</v>
      </c>
      <c r="AY26" s="26">
        <f t="shared" si="39"/>
        <v>151667.84158712626</v>
      </c>
      <c r="AZ26" s="26">
        <v>101</v>
      </c>
      <c r="BA26" s="26">
        <f t="shared" si="40"/>
        <v>56.265625</v>
      </c>
      <c r="BB26" s="26">
        <f t="shared" si="41"/>
        <v>3165.820556640625</v>
      </c>
      <c r="BC26" s="26">
        <f t="shared" si="42"/>
        <v>178126.87225723267</v>
      </c>
      <c r="BD26" s="26">
        <f t="shared" si="43"/>
        <v>10022419.796848357</v>
      </c>
    </row>
    <row r="27" spans="1:56" ht="12.75" hidden="1" customHeight="1" x14ac:dyDescent="0.2">
      <c r="A27" s="25" t="s">
        <v>26</v>
      </c>
      <c r="B27" s="26">
        <v>43</v>
      </c>
      <c r="C27" s="26">
        <f t="shared" si="0"/>
        <v>-1.734375</v>
      </c>
      <c r="D27" s="26">
        <f t="shared" si="1"/>
        <v>3.008056640625</v>
      </c>
      <c r="E27" s="26">
        <f t="shared" si="2"/>
        <v>-5.2170982360839844</v>
      </c>
      <c r="F27" s="26">
        <f t="shared" si="3"/>
        <v>9.0484047532081604</v>
      </c>
      <c r="G27" s="26">
        <v>48</v>
      </c>
      <c r="H27" s="26">
        <f t="shared" si="4"/>
        <v>3.265625</v>
      </c>
      <c r="I27" s="26">
        <f t="shared" si="5"/>
        <v>10.664306640625</v>
      </c>
      <c r="J27" s="26">
        <f t="shared" si="6"/>
        <v>34.825626373291016</v>
      </c>
      <c r="K27" s="26">
        <f t="shared" si="7"/>
        <v>113.72743612527847</v>
      </c>
      <c r="L27" s="26">
        <v>57.5</v>
      </c>
      <c r="M27" s="26">
        <f t="shared" si="8"/>
        <v>12.765625</v>
      </c>
      <c r="N27" s="26">
        <f t="shared" si="9"/>
        <v>162.961181640625</v>
      </c>
      <c r="O27" s="26">
        <f t="shared" si="10"/>
        <v>2080.3013343811035</v>
      </c>
      <c r="P27" s="26">
        <f t="shared" si="11"/>
        <v>26556.346721708775</v>
      </c>
      <c r="Q27" s="26">
        <v>46</v>
      </c>
      <c r="R27" s="26">
        <f t="shared" si="12"/>
        <v>1.265625</v>
      </c>
      <c r="S27" s="26">
        <f t="shared" si="13"/>
        <v>1.601806640625</v>
      </c>
      <c r="T27" s="26">
        <f t="shared" si="14"/>
        <v>2.0272865295410156</v>
      </c>
      <c r="U27" s="26">
        <f t="shared" si="15"/>
        <v>2.5657845139503479</v>
      </c>
      <c r="V27" s="26">
        <v>60</v>
      </c>
      <c r="W27" s="26">
        <f t="shared" si="16"/>
        <v>15.265625</v>
      </c>
      <c r="X27" s="26">
        <f t="shared" si="17"/>
        <v>233.039306640625</v>
      </c>
      <c r="Y27" s="26">
        <f t="shared" si="18"/>
        <v>3557.490665435791</v>
      </c>
      <c r="Z27" s="26">
        <f t="shared" si="19"/>
        <v>54307.318439543247</v>
      </c>
      <c r="AA27" s="26">
        <v>118</v>
      </c>
      <c r="AB27" s="26">
        <f t="shared" si="20"/>
        <v>73.265625</v>
      </c>
      <c r="AC27" s="26">
        <f t="shared" si="21"/>
        <v>5367.851806640625</v>
      </c>
      <c r="AD27" s="26">
        <f t="shared" si="22"/>
        <v>393279.01752090454</v>
      </c>
      <c r="AE27" s="26">
        <f t="shared" si="23"/>
        <v>28813833.018055022</v>
      </c>
      <c r="AF27" s="26">
        <v>130.5</v>
      </c>
      <c r="AG27" s="26">
        <f t="shared" si="24"/>
        <v>85.765625</v>
      </c>
      <c r="AH27" s="26">
        <f t="shared" si="25"/>
        <v>7355.742431640625</v>
      </c>
      <c r="AI27" s="26">
        <f t="shared" si="26"/>
        <v>630869.84698867798</v>
      </c>
      <c r="AJ27" s="26">
        <f t="shared" si="27"/>
        <v>54106946.720638335</v>
      </c>
      <c r="AK27" s="26">
        <v>15</v>
      </c>
      <c r="AL27" s="26">
        <f t="shared" si="28"/>
        <v>-29.734375</v>
      </c>
      <c r="AM27" s="26">
        <f t="shared" si="29"/>
        <v>884.133056640625</v>
      </c>
      <c r="AN27" s="26">
        <f t="shared" si="30"/>
        <v>-26289.143856048584</v>
      </c>
      <c r="AO27" s="26">
        <f t="shared" si="31"/>
        <v>781691.26184469461</v>
      </c>
      <c r="AP27" s="26">
        <v>57</v>
      </c>
      <c r="AQ27" s="26">
        <f t="shared" si="32"/>
        <v>12.265625</v>
      </c>
      <c r="AR27" s="26">
        <f t="shared" si="33"/>
        <v>150.445556640625</v>
      </c>
      <c r="AS27" s="26">
        <f t="shared" si="34"/>
        <v>1845.308780670166</v>
      </c>
      <c r="AT27" s="26">
        <f t="shared" si="35"/>
        <v>22633.865512907505</v>
      </c>
      <c r="AU27" s="26">
        <v>27</v>
      </c>
      <c r="AV27" s="26">
        <f t="shared" si="36"/>
        <v>-17.734375</v>
      </c>
      <c r="AW27" s="26">
        <f t="shared" si="37"/>
        <v>314.508056640625</v>
      </c>
      <c r="AX27" s="26">
        <f t="shared" si="38"/>
        <v>-5577.603816986084</v>
      </c>
      <c r="AY27" s="26">
        <f t="shared" si="39"/>
        <v>98915.317691862583</v>
      </c>
      <c r="AZ27" s="26">
        <v>101</v>
      </c>
      <c r="BA27" s="26">
        <f t="shared" si="40"/>
        <v>56.265625</v>
      </c>
      <c r="BB27" s="26">
        <f t="shared" si="41"/>
        <v>3165.820556640625</v>
      </c>
      <c r="BC27" s="26">
        <f t="shared" si="42"/>
        <v>178126.87225723267</v>
      </c>
      <c r="BD27" s="26">
        <f t="shared" si="43"/>
        <v>10022419.796848357</v>
      </c>
    </row>
    <row r="28" spans="1:56" ht="12.75" hidden="1" customHeight="1" x14ac:dyDescent="0.2">
      <c r="A28" s="25" t="s">
        <v>27</v>
      </c>
      <c r="B28" s="26">
        <v>47</v>
      </c>
      <c r="C28" s="26">
        <f t="shared" si="0"/>
        <v>2.265625</v>
      </c>
      <c r="D28" s="26">
        <f t="shared" si="1"/>
        <v>5.133056640625</v>
      </c>
      <c r="E28" s="26">
        <f t="shared" si="2"/>
        <v>11.629581451416016</v>
      </c>
      <c r="F28" s="26">
        <f t="shared" si="3"/>
        <v>26.34827047586441</v>
      </c>
      <c r="G28" s="26">
        <v>51</v>
      </c>
      <c r="H28" s="26">
        <f t="shared" si="4"/>
        <v>6.265625</v>
      </c>
      <c r="I28" s="26">
        <f t="shared" si="5"/>
        <v>39.258056640625</v>
      </c>
      <c r="J28" s="26">
        <f t="shared" si="6"/>
        <v>245.97626113891602</v>
      </c>
      <c r="K28" s="26">
        <f t="shared" si="7"/>
        <v>1541.1950111985207</v>
      </c>
      <c r="L28" s="26">
        <v>53</v>
      </c>
      <c r="M28" s="26">
        <f t="shared" si="8"/>
        <v>8.265625</v>
      </c>
      <c r="N28" s="26">
        <f t="shared" si="9"/>
        <v>68.320556640625</v>
      </c>
      <c r="O28" s="26">
        <f t="shared" si="10"/>
        <v>564.71210098266602</v>
      </c>
      <c r="P28" s="26">
        <f t="shared" si="11"/>
        <v>4667.6984596848488</v>
      </c>
      <c r="Q28" s="26">
        <v>42</v>
      </c>
      <c r="R28" s="26">
        <f t="shared" si="12"/>
        <v>-2.734375</v>
      </c>
      <c r="S28" s="26">
        <f t="shared" si="13"/>
        <v>7.476806640625</v>
      </c>
      <c r="T28" s="26">
        <f t="shared" si="14"/>
        <v>-20.444393157958984</v>
      </c>
      <c r="U28" s="26">
        <f t="shared" si="15"/>
        <v>55.902637541294098</v>
      </c>
      <c r="V28" s="26">
        <v>56.5</v>
      </c>
      <c r="W28" s="26">
        <f t="shared" si="16"/>
        <v>11.765625</v>
      </c>
      <c r="X28" s="26">
        <f t="shared" si="17"/>
        <v>138.429931640625</v>
      </c>
      <c r="Y28" s="26">
        <f t="shared" si="18"/>
        <v>1628.7146644592285</v>
      </c>
      <c r="Z28" s="26">
        <f t="shared" si="19"/>
        <v>19162.845974028111</v>
      </c>
      <c r="AA28" s="26">
        <v>116</v>
      </c>
      <c r="AB28" s="26">
        <f t="shared" si="20"/>
        <v>71.265625</v>
      </c>
      <c r="AC28" s="26">
        <f t="shared" si="21"/>
        <v>5078.789306640625</v>
      </c>
      <c r="AD28" s="26">
        <f t="shared" si="22"/>
        <v>361943.09418106079</v>
      </c>
      <c r="AE28" s="26">
        <f t="shared" si="23"/>
        <v>25794100.82124716</v>
      </c>
      <c r="AF28" s="26">
        <v>126.5</v>
      </c>
      <c r="AG28" s="26">
        <f t="shared" si="24"/>
        <v>81.765625</v>
      </c>
      <c r="AH28" s="26">
        <f t="shared" si="25"/>
        <v>6685.617431640625</v>
      </c>
      <c r="AI28" s="26">
        <f t="shared" si="26"/>
        <v>546653.68780899048</v>
      </c>
      <c r="AJ28" s="26">
        <f t="shared" si="27"/>
        <v>44697480.442256987</v>
      </c>
      <c r="AK28" s="26">
        <v>17</v>
      </c>
      <c r="AL28" s="26">
        <f t="shared" si="28"/>
        <v>-27.734375</v>
      </c>
      <c r="AM28" s="26">
        <f t="shared" si="29"/>
        <v>769.195556640625</v>
      </c>
      <c r="AN28" s="26">
        <f t="shared" si="30"/>
        <v>-21333.158016204834</v>
      </c>
      <c r="AO28" s="26">
        <f t="shared" si="31"/>
        <v>591661.80435568094</v>
      </c>
      <c r="AP28" s="26">
        <v>57</v>
      </c>
      <c r="AQ28" s="26">
        <f t="shared" si="32"/>
        <v>12.265625</v>
      </c>
      <c r="AR28" s="26">
        <f t="shared" si="33"/>
        <v>150.445556640625</v>
      </c>
      <c r="AS28" s="26">
        <f t="shared" si="34"/>
        <v>1845.308780670166</v>
      </c>
      <c r="AT28" s="26">
        <f t="shared" si="35"/>
        <v>22633.865512907505</v>
      </c>
      <c r="AU28" s="26">
        <v>27</v>
      </c>
      <c r="AV28" s="26">
        <f t="shared" si="36"/>
        <v>-17.734375</v>
      </c>
      <c r="AW28" s="26">
        <f t="shared" si="37"/>
        <v>314.508056640625</v>
      </c>
      <c r="AX28" s="26">
        <f t="shared" si="38"/>
        <v>-5577.603816986084</v>
      </c>
      <c r="AY28" s="26">
        <f t="shared" si="39"/>
        <v>98915.317691862583</v>
      </c>
      <c r="AZ28" s="26">
        <v>101</v>
      </c>
      <c r="BA28" s="26">
        <f t="shared" si="40"/>
        <v>56.265625</v>
      </c>
      <c r="BB28" s="26">
        <f t="shared" si="41"/>
        <v>3165.820556640625</v>
      </c>
      <c r="BC28" s="26">
        <f t="shared" si="42"/>
        <v>178126.87225723267</v>
      </c>
      <c r="BD28" s="26">
        <f t="shared" si="43"/>
        <v>10022419.796848357</v>
      </c>
    </row>
    <row r="29" spans="1:56" ht="12.75" hidden="1" customHeight="1" x14ac:dyDescent="0.2">
      <c r="A29" s="25" t="s">
        <v>28</v>
      </c>
      <c r="B29" s="26">
        <v>43</v>
      </c>
      <c r="C29" s="26">
        <f t="shared" si="0"/>
        <v>-1.734375</v>
      </c>
      <c r="D29" s="26">
        <f t="shared" si="1"/>
        <v>3.008056640625</v>
      </c>
      <c r="E29" s="26">
        <f t="shared" si="2"/>
        <v>-5.2170982360839844</v>
      </c>
      <c r="F29" s="26">
        <f t="shared" si="3"/>
        <v>9.0484047532081604</v>
      </c>
      <c r="G29" s="26">
        <v>47</v>
      </c>
      <c r="H29" s="26">
        <f t="shared" si="4"/>
        <v>2.265625</v>
      </c>
      <c r="I29" s="26">
        <f t="shared" si="5"/>
        <v>5.133056640625</v>
      </c>
      <c r="J29" s="26">
        <f t="shared" si="6"/>
        <v>11.629581451416016</v>
      </c>
      <c r="K29" s="26">
        <f t="shared" si="7"/>
        <v>26.34827047586441</v>
      </c>
      <c r="L29" s="26">
        <v>53</v>
      </c>
      <c r="M29" s="26">
        <f t="shared" si="8"/>
        <v>8.265625</v>
      </c>
      <c r="N29" s="26">
        <f t="shared" si="9"/>
        <v>68.320556640625</v>
      </c>
      <c r="O29" s="26">
        <f t="shared" si="10"/>
        <v>564.71210098266602</v>
      </c>
      <c r="P29" s="26">
        <f t="shared" si="11"/>
        <v>4667.6984596848488</v>
      </c>
      <c r="Q29" s="26">
        <v>38</v>
      </c>
      <c r="R29" s="26">
        <f t="shared" si="12"/>
        <v>-6.734375</v>
      </c>
      <c r="S29" s="26">
        <f t="shared" si="13"/>
        <v>45.351806640625</v>
      </c>
      <c r="T29" s="26">
        <f t="shared" si="14"/>
        <v>-305.41607284545898</v>
      </c>
      <c r="U29" s="26">
        <f t="shared" si="15"/>
        <v>2056.7863655686378</v>
      </c>
      <c r="V29" s="26">
        <v>54.5</v>
      </c>
      <c r="W29" s="26">
        <f t="shared" si="16"/>
        <v>9.765625</v>
      </c>
      <c r="X29" s="26">
        <f t="shared" si="17"/>
        <v>95.367431640625</v>
      </c>
      <c r="Y29" s="26">
        <f t="shared" si="18"/>
        <v>931.32257461547852</v>
      </c>
      <c r="Z29" s="26">
        <f t="shared" si="19"/>
        <v>9094.9470177292824</v>
      </c>
      <c r="AA29" s="26">
        <v>111</v>
      </c>
      <c r="AB29" s="26">
        <f t="shared" si="20"/>
        <v>66.265625</v>
      </c>
      <c r="AC29" s="26">
        <f t="shared" si="21"/>
        <v>4391.133056640625</v>
      </c>
      <c r="AD29" s="26">
        <f t="shared" si="22"/>
        <v>290981.17645645142</v>
      </c>
      <c r="AE29" s="26">
        <f t="shared" si="23"/>
        <v>19282049.521122038</v>
      </c>
      <c r="AF29" s="26">
        <v>122</v>
      </c>
      <c r="AG29" s="26">
        <f t="shared" si="24"/>
        <v>77.265625</v>
      </c>
      <c r="AH29" s="26">
        <f t="shared" si="25"/>
        <v>5969.976806640625</v>
      </c>
      <c r="AI29" s="26">
        <f t="shared" si="26"/>
        <v>461273.98920059204</v>
      </c>
      <c r="AJ29" s="26">
        <f t="shared" si="27"/>
        <v>35640623.071826994</v>
      </c>
      <c r="AK29" s="26">
        <v>15.5</v>
      </c>
      <c r="AL29" s="26">
        <f t="shared" si="28"/>
        <v>-29.234375</v>
      </c>
      <c r="AM29" s="26">
        <f t="shared" si="29"/>
        <v>854.648681640625</v>
      </c>
      <c r="AN29" s="26">
        <f t="shared" si="30"/>
        <v>-24985.120052337646</v>
      </c>
      <c r="AO29" s="26">
        <f t="shared" si="31"/>
        <v>730424.36903005838</v>
      </c>
      <c r="AP29" s="26">
        <v>54</v>
      </c>
      <c r="AQ29" s="26">
        <f t="shared" si="32"/>
        <v>9.265625</v>
      </c>
      <c r="AR29" s="26">
        <f t="shared" si="33"/>
        <v>85.851806640625</v>
      </c>
      <c r="AS29" s="26">
        <f t="shared" si="34"/>
        <v>795.47064590454102</v>
      </c>
      <c r="AT29" s="26">
        <f t="shared" si="35"/>
        <v>7370.5327034592628</v>
      </c>
      <c r="AU29" s="26">
        <v>23</v>
      </c>
      <c r="AV29" s="26">
        <f t="shared" si="36"/>
        <v>-21.734375</v>
      </c>
      <c r="AW29" s="26">
        <f t="shared" si="37"/>
        <v>472.383056640625</v>
      </c>
      <c r="AX29" s="26">
        <f t="shared" si="38"/>
        <v>-10266.950496673584</v>
      </c>
      <c r="AY29" s="26">
        <f t="shared" si="39"/>
        <v>223145.75220113993</v>
      </c>
      <c r="AZ29" s="26">
        <v>101</v>
      </c>
      <c r="BA29" s="26">
        <f t="shared" si="40"/>
        <v>56.265625</v>
      </c>
      <c r="BB29" s="26">
        <f t="shared" si="41"/>
        <v>3165.820556640625</v>
      </c>
      <c r="BC29" s="26">
        <f t="shared" si="42"/>
        <v>178126.87225723267</v>
      </c>
      <c r="BD29" s="26">
        <f t="shared" si="43"/>
        <v>10022419.796848357</v>
      </c>
    </row>
    <row r="30" spans="1:56" ht="12.75" hidden="1" customHeight="1" x14ac:dyDescent="0.2">
      <c r="A30" s="25" t="s">
        <v>29</v>
      </c>
      <c r="B30" s="26">
        <v>43</v>
      </c>
      <c r="C30" s="26">
        <f t="shared" si="0"/>
        <v>-1.734375</v>
      </c>
      <c r="D30" s="26">
        <f t="shared" si="1"/>
        <v>3.008056640625</v>
      </c>
      <c r="E30" s="26">
        <f t="shared" si="2"/>
        <v>-5.2170982360839844</v>
      </c>
      <c r="F30" s="26">
        <f t="shared" si="3"/>
        <v>9.0484047532081604</v>
      </c>
      <c r="G30" s="26">
        <v>47</v>
      </c>
      <c r="H30" s="26">
        <f t="shared" si="4"/>
        <v>2.265625</v>
      </c>
      <c r="I30" s="26">
        <f t="shared" si="5"/>
        <v>5.133056640625</v>
      </c>
      <c r="J30" s="26">
        <f t="shared" si="6"/>
        <v>11.629581451416016</v>
      </c>
      <c r="K30" s="26">
        <f t="shared" si="7"/>
        <v>26.34827047586441</v>
      </c>
      <c r="L30" s="26">
        <v>52</v>
      </c>
      <c r="M30" s="26">
        <f t="shared" si="8"/>
        <v>7.265625</v>
      </c>
      <c r="N30" s="26">
        <f t="shared" si="9"/>
        <v>52.789306640625</v>
      </c>
      <c r="O30" s="26">
        <f t="shared" si="10"/>
        <v>383.54730606079102</v>
      </c>
      <c r="P30" s="26">
        <f t="shared" si="11"/>
        <v>2786.7108955979347</v>
      </c>
      <c r="Q30" s="26">
        <v>34</v>
      </c>
      <c r="R30" s="26">
        <f t="shared" si="12"/>
        <v>-10.734375</v>
      </c>
      <c r="S30" s="26">
        <f t="shared" si="13"/>
        <v>115.226806640625</v>
      </c>
      <c r="T30" s="26">
        <f t="shared" si="14"/>
        <v>-1236.887752532959</v>
      </c>
      <c r="U30" s="26">
        <f t="shared" si="15"/>
        <v>13277.216968595982</v>
      </c>
      <c r="V30" s="26">
        <v>54</v>
      </c>
      <c r="W30" s="26">
        <f t="shared" si="16"/>
        <v>9.265625</v>
      </c>
      <c r="X30" s="26">
        <f t="shared" si="17"/>
        <v>85.851806640625</v>
      </c>
      <c r="Y30" s="26">
        <f t="shared" si="18"/>
        <v>795.47064590454102</v>
      </c>
      <c r="Z30" s="26">
        <f t="shared" si="19"/>
        <v>7370.5327034592628</v>
      </c>
      <c r="AA30" s="26">
        <v>112</v>
      </c>
      <c r="AB30" s="26">
        <f t="shared" si="20"/>
        <v>67.265625</v>
      </c>
      <c r="AC30" s="26">
        <f t="shared" si="21"/>
        <v>4524.664306640625</v>
      </c>
      <c r="AD30" s="26">
        <f t="shared" si="22"/>
        <v>304354.37250137329</v>
      </c>
      <c r="AE30" s="26">
        <f t="shared" si="23"/>
        <v>20472587.087787688</v>
      </c>
      <c r="AF30" s="26">
        <v>121</v>
      </c>
      <c r="AG30" s="26">
        <f t="shared" si="24"/>
        <v>76.265625</v>
      </c>
      <c r="AH30" s="26">
        <f t="shared" si="25"/>
        <v>5816.445556640625</v>
      </c>
      <c r="AI30" s="26">
        <f t="shared" si="26"/>
        <v>443594.85565567017</v>
      </c>
      <c r="AJ30" s="26">
        <f t="shared" si="27"/>
        <v>33831038.91336447</v>
      </c>
      <c r="AK30" s="26">
        <v>12.5</v>
      </c>
      <c r="AL30" s="26">
        <f t="shared" si="28"/>
        <v>-32.234375</v>
      </c>
      <c r="AM30" s="26">
        <f t="shared" si="29"/>
        <v>1039.054931640625</v>
      </c>
      <c r="AN30" s="26">
        <f t="shared" si="30"/>
        <v>-33493.286312103271</v>
      </c>
      <c r="AO30" s="26">
        <f t="shared" si="31"/>
        <v>1079635.1509667039</v>
      </c>
      <c r="AP30" s="26">
        <v>53</v>
      </c>
      <c r="AQ30" s="26">
        <f t="shared" si="32"/>
        <v>8.265625</v>
      </c>
      <c r="AR30" s="26">
        <f t="shared" si="33"/>
        <v>68.320556640625</v>
      </c>
      <c r="AS30" s="26">
        <f t="shared" si="34"/>
        <v>564.71210098266602</v>
      </c>
      <c r="AT30" s="26">
        <f t="shared" si="35"/>
        <v>4667.6984596848488</v>
      </c>
      <c r="AU30" s="26">
        <v>26</v>
      </c>
      <c r="AV30" s="26">
        <f t="shared" si="36"/>
        <v>-18.734375</v>
      </c>
      <c r="AW30" s="26">
        <f t="shared" si="37"/>
        <v>350.976806640625</v>
      </c>
      <c r="AX30" s="26">
        <f t="shared" si="38"/>
        <v>-6575.331111907959</v>
      </c>
      <c r="AY30" s="26">
        <f t="shared" si="39"/>
        <v>123184.71879965067</v>
      </c>
      <c r="AZ30" s="26">
        <v>101</v>
      </c>
      <c r="BA30" s="26">
        <f t="shared" si="40"/>
        <v>56.265625</v>
      </c>
      <c r="BB30" s="26">
        <f t="shared" si="41"/>
        <v>3165.820556640625</v>
      </c>
      <c r="BC30" s="26">
        <f t="shared" si="42"/>
        <v>178126.87225723267</v>
      </c>
      <c r="BD30" s="26">
        <f t="shared" si="43"/>
        <v>10022419.796848357</v>
      </c>
    </row>
    <row r="31" spans="1:56" ht="12.75" hidden="1" customHeight="1" x14ac:dyDescent="0.2">
      <c r="A31" s="25" t="s">
        <v>30</v>
      </c>
      <c r="B31" s="26">
        <v>42</v>
      </c>
      <c r="C31" s="26">
        <f t="shared" si="0"/>
        <v>-2.734375</v>
      </c>
      <c r="D31" s="26">
        <f t="shared" si="1"/>
        <v>7.476806640625</v>
      </c>
      <c r="E31" s="26">
        <f t="shared" si="2"/>
        <v>-20.444393157958984</v>
      </c>
      <c r="F31" s="26">
        <f t="shared" si="3"/>
        <v>55.902637541294098</v>
      </c>
      <c r="G31" s="26">
        <v>47.5</v>
      </c>
      <c r="H31" s="26">
        <f t="shared" si="4"/>
        <v>2.765625</v>
      </c>
      <c r="I31" s="26">
        <f t="shared" si="5"/>
        <v>7.648681640625</v>
      </c>
      <c r="J31" s="26">
        <f t="shared" si="6"/>
        <v>21.153385162353516</v>
      </c>
      <c r="K31" s="26">
        <f t="shared" si="7"/>
        <v>58.502330839633942</v>
      </c>
      <c r="L31" s="26">
        <v>51</v>
      </c>
      <c r="M31" s="26">
        <f t="shared" si="8"/>
        <v>6.265625</v>
      </c>
      <c r="N31" s="26">
        <f t="shared" si="9"/>
        <v>39.258056640625</v>
      </c>
      <c r="O31" s="26">
        <f t="shared" si="10"/>
        <v>245.97626113891602</v>
      </c>
      <c r="P31" s="26">
        <f t="shared" si="11"/>
        <v>1541.1950111985207</v>
      </c>
      <c r="Q31" s="26">
        <v>37.5</v>
      </c>
      <c r="R31" s="26">
        <f t="shared" si="12"/>
        <v>-7.234375</v>
      </c>
      <c r="S31" s="26">
        <f t="shared" si="13"/>
        <v>52.336181640625</v>
      </c>
      <c r="T31" s="26">
        <f t="shared" si="14"/>
        <v>-378.61956405639648</v>
      </c>
      <c r="U31" s="26">
        <f t="shared" si="15"/>
        <v>2739.0759087204933</v>
      </c>
      <c r="V31" s="26">
        <v>50.5</v>
      </c>
      <c r="W31" s="26">
        <f t="shared" si="16"/>
        <v>5.765625</v>
      </c>
      <c r="X31" s="26">
        <f t="shared" si="17"/>
        <v>33.242431640625</v>
      </c>
      <c r="Y31" s="26">
        <f t="shared" si="18"/>
        <v>191.66339492797852</v>
      </c>
      <c r="Z31" s="26">
        <f t="shared" si="19"/>
        <v>1105.0592613816261</v>
      </c>
      <c r="AA31" s="26">
        <v>108</v>
      </c>
      <c r="AB31" s="26">
        <f t="shared" si="20"/>
        <v>63.265625</v>
      </c>
      <c r="AC31" s="26">
        <f t="shared" si="21"/>
        <v>4002.539306640625</v>
      </c>
      <c r="AD31" s="26">
        <f t="shared" si="22"/>
        <v>253223.15082168579</v>
      </c>
      <c r="AE31" s="26">
        <f t="shared" si="23"/>
        <v>16020320.901203215</v>
      </c>
      <c r="AF31" s="26">
        <v>121</v>
      </c>
      <c r="AG31" s="26">
        <f t="shared" si="24"/>
        <v>76.265625</v>
      </c>
      <c r="AH31" s="26">
        <f t="shared" si="25"/>
        <v>5816.445556640625</v>
      </c>
      <c r="AI31" s="26">
        <f t="shared" si="26"/>
        <v>443594.85565567017</v>
      </c>
      <c r="AJ31" s="26">
        <f t="shared" si="27"/>
        <v>33831038.91336447</v>
      </c>
      <c r="AK31" s="26">
        <v>12.5</v>
      </c>
      <c r="AL31" s="26">
        <f t="shared" si="28"/>
        <v>-32.234375</v>
      </c>
      <c r="AM31" s="26">
        <f t="shared" si="29"/>
        <v>1039.054931640625</v>
      </c>
      <c r="AN31" s="26">
        <f t="shared" si="30"/>
        <v>-33493.286312103271</v>
      </c>
      <c r="AO31" s="26">
        <f t="shared" si="31"/>
        <v>1079635.1509667039</v>
      </c>
      <c r="AP31" s="26">
        <v>53</v>
      </c>
      <c r="AQ31" s="26">
        <f t="shared" si="32"/>
        <v>8.265625</v>
      </c>
      <c r="AR31" s="26">
        <f t="shared" si="33"/>
        <v>68.320556640625</v>
      </c>
      <c r="AS31" s="26">
        <f t="shared" si="34"/>
        <v>564.71210098266602</v>
      </c>
      <c r="AT31" s="26">
        <f t="shared" si="35"/>
        <v>4667.6984596848488</v>
      </c>
      <c r="AU31" s="26">
        <v>23</v>
      </c>
      <c r="AV31" s="26">
        <f t="shared" si="36"/>
        <v>-21.734375</v>
      </c>
      <c r="AW31" s="26">
        <f t="shared" si="37"/>
        <v>472.383056640625</v>
      </c>
      <c r="AX31" s="26">
        <f t="shared" si="38"/>
        <v>-10266.950496673584</v>
      </c>
      <c r="AY31" s="26">
        <f t="shared" si="39"/>
        <v>223145.75220113993</v>
      </c>
      <c r="AZ31" s="26">
        <v>101</v>
      </c>
      <c r="BA31" s="26">
        <f t="shared" si="40"/>
        <v>56.265625</v>
      </c>
      <c r="BB31" s="26">
        <f t="shared" si="41"/>
        <v>3165.820556640625</v>
      </c>
      <c r="BC31" s="26">
        <f t="shared" si="42"/>
        <v>178126.87225723267</v>
      </c>
      <c r="BD31" s="26">
        <f t="shared" si="43"/>
        <v>10022419.796848357</v>
      </c>
    </row>
    <row r="32" spans="1:56" ht="12.75" hidden="1" customHeight="1" x14ac:dyDescent="0.2">
      <c r="A32" s="25" t="s">
        <v>31</v>
      </c>
      <c r="B32" s="26">
        <v>49</v>
      </c>
      <c r="C32" s="26">
        <f t="shared" si="0"/>
        <v>4.265625</v>
      </c>
      <c r="D32" s="26">
        <f t="shared" si="1"/>
        <v>18.195556640625</v>
      </c>
      <c r="E32" s="26">
        <f t="shared" si="2"/>
        <v>77.615421295166016</v>
      </c>
      <c r="F32" s="26">
        <f t="shared" si="3"/>
        <v>331.07828146219254</v>
      </c>
      <c r="G32" s="26">
        <v>51</v>
      </c>
      <c r="H32" s="26">
        <f t="shared" si="4"/>
        <v>6.265625</v>
      </c>
      <c r="I32" s="26">
        <f t="shared" si="5"/>
        <v>39.258056640625</v>
      </c>
      <c r="J32" s="26">
        <f t="shared" si="6"/>
        <v>245.97626113891602</v>
      </c>
      <c r="K32" s="26">
        <f t="shared" si="7"/>
        <v>1541.1950111985207</v>
      </c>
      <c r="L32" s="26">
        <v>58</v>
      </c>
      <c r="M32" s="26">
        <f t="shared" si="8"/>
        <v>13.265625</v>
      </c>
      <c r="N32" s="26">
        <f t="shared" si="9"/>
        <v>175.976806640625</v>
      </c>
      <c r="O32" s="26">
        <f t="shared" si="10"/>
        <v>2334.442325592041</v>
      </c>
      <c r="P32" s="26">
        <f t="shared" si="11"/>
        <v>30967.836475431919</v>
      </c>
      <c r="Q32" s="26">
        <v>48</v>
      </c>
      <c r="R32" s="26">
        <f t="shared" si="12"/>
        <v>3.265625</v>
      </c>
      <c r="S32" s="26">
        <f t="shared" si="13"/>
        <v>10.664306640625</v>
      </c>
      <c r="T32" s="26">
        <f t="shared" si="14"/>
        <v>34.825626373291016</v>
      </c>
      <c r="U32" s="26">
        <f t="shared" si="15"/>
        <v>113.72743612527847</v>
      </c>
      <c r="V32" s="26">
        <v>68</v>
      </c>
      <c r="W32" s="26">
        <f t="shared" si="16"/>
        <v>23.265625</v>
      </c>
      <c r="X32" s="26">
        <f t="shared" si="17"/>
        <v>541.289306640625</v>
      </c>
      <c r="Y32" s="26">
        <f t="shared" si="18"/>
        <v>12593.434024810791</v>
      </c>
      <c r="Z32" s="26">
        <f t="shared" si="19"/>
        <v>292994.11348348856</v>
      </c>
      <c r="AA32" s="26">
        <v>129</v>
      </c>
      <c r="AB32" s="26">
        <f t="shared" si="20"/>
        <v>84.265625</v>
      </c>
      <c r="AC32" s="26">
        <f t="shared" si="21"/>
        <v>7100.695556640625</v>
      </c>
      <c r="AD32" s="26">
        <f t="shared" si="22"/>
        <v>598344.54901504517</v>
      </c>
      <c r="AE32" s="26">
        <f t="shared" si="23"/>
        <v>50419877.388095915</v>
      </c>
      <c r="AF32" s="26">
        <f>94+43</f>
        <v>137</v>
      </c>
      <c r="AG32" s="26">
        <f t="shared" si="24"/>
        <v>92.265625</v>
      </c>
      <c r="AH32" s="26">
        <f t="shared" si="25"/>
        <v>8512.945556640625</v>
      </c>
      <c r="AI32" s="26">
        <f t="shared" si="26"/>
        <v>785452.24237442017</v>
      </c>
      <c r="AJ32" s="26">
        <f t="shared" si="27"/>
        <v>72470242.050327361</v>
      </c>
      <c r="AK32" s="26">
        <v>19</v>
      </c>
      <c r="AL32" s="26">
        <f t="shared" si="28"/>
        <v>-25.734375</v>
      </c>
      <c r="AM32" s="26">
        <f t="shared" si="29"/>
        <v>662.258056640625</v>
      </c>
      <c r="AN32" s="26">
        <f t="shared" si="30"/>
        <v>-17042.797176361084</v>
      </c>
      <c r="AO32" s="26">
        <f t="shared" si="31"/>
        <v>438585.73358541727</v>
      </c>
      <c r="AP32" s="26">
        <v>62</v>
      </c>
      <c r="AQ32" s="26">
        <f t="shared" si="32"/>
        <v>17.265625</v>
      </c>
      <c r="AR32" s="26">
        <f t="shared" si="33"/>
        <v>298.101806640625</v>
      </c>
      <c r="AS32" s="26">
        <f t="shared" si="34"/>
        <v>5146.914005279541</v>
      </c>
      <c r="AT32" s="26">
        <f t="shared" si="35"/>
        <v>88864.687122404575</v>
      </c>
      <c r="AU32" s="26">
        <v>25</v>
      </c>
      <c r="AV32" s="26">
        <f t="shared" si="36"/>
        <v>-19.734375</v>
      </c>
      <c r="AW32" s="26">
        <f t="shared" si="37"/>
        <v>389.445556640625</v>
      </c>
      <c r="AX32" s="26">
        <f t="shared" si="38"/>
        <v>-7685.464656829834</v>
      </c>
      <c r="AY32" s="26">
        <f t="shared" si="39"/>
        <v>151667.84158712626</v>
      </c>
      <c r="AZ32" s="26">
        <v>101</v>
      </c>
      <c r="BA32" s="26">
        <f t="shared" si="40"/>
        <v>56.265625</v>
      </c>
      <c r="BB32" s="26">
        <f t="shared" si="41"/>
        <v>3165.820556640625</v>
      </c>
      <c r="BC32" s="26">
        <f t="shared" si="42"/>
        <v>178126.87225723267</v>
      </c>
      <c r="BD32" s="26">
        <f t="shared" si="43"/>
        <v>10022419.796848357</v>
      </c>
    </row>
    <row r="33" spans="1:56" ht="12.75" hidden="1" customHeight="1" x14ac:dyDescent="0.2">
      <c r="A33" s="25" t="s">
        <v>32</v>
      </c>
      <c r="B33" s="26">
        <v>46</v>
      </c>
      <c r="C33" s="26">
        <f t="shared" si="0"/>
        <v>1.265625</v>
      </c>
      <c r="D33" s="26">
        <f t="shared" si="1"/>
        <v>1.601806640625</v>
      </c>
      <c r="E33" s="26">
        <f t="shared" si="2"/>
        <v>2.0272865295410156</v>
      </c>
      <c r="F33" s="26">
        <f t="shared" si="3"/>
        <v>2.5657845139503479</v>
      </c>
      <c r="G33" s="26">
        <v>48</v>
      </c>
      <c r="H33" s="26">
        <f t="shared" si="4"/>
        <v>3.265625</v>
      </c>
      <c r="I33" s="26">
        <f t="shared" si="5"/>
        <v>10.664306640625</v>
      </c>
      <c r="J33" s="26">
        <f t="shared" si="6"/>
        <v>34.825626373291016</v>
      </c>
      <c r="K33" s="26">
        <f t="shared" si="7"/>
        <v>113.72743612527847</v>
      </c>
      <c r="L33" s="26">
        <v>49.5</v>
      </c>
      <c r="M33" s="26">
        <f t="shared" si="8"/>
        <v>4.765625</v>
      </c>
      <c r="N33" s="26">
        <f t="shared" si="9"/>
        <v>22.711181640625</v>
      </c>
      <c r="O33" s="26">
        <f t="shared" si="10"/>
        <v>108.23297500610352</v>
      </c>
      <c r="P33" s="26">
        <f t="shared" si="11"/>
        <v>515.79777151346207</v>
      </c>
      <c r="Q33" s="26">
        <v>42</v>
      </c>
      <c r="R33" s="26">
        <f t="shared" si="12"/>
        <v>-2.734375</v>
      </c>
      <c r="S33" s="26">
        <f t="shared" si="13"/>
        <v>7.476806640625</v>
      </c>
      <c r="T33" s="26">
        <f t="shared" si="14"/>
        <v>-20.444393157958984</v>
      </c>
      <c r="U33" s="26">
        <f t="shared" si="15"/>
        <v>55.902637541294098</v>
      </c>
      <c r="V33" s="26">
        <v>61</v>
      </c>
      <c r="W33" s="26">
        <f t="shared" si="16"/>
        <v>16.265625</v>
      </c>
      <c r="X33" s="26">
        <f t="shared" si="17"/>
        <v>264.570556640625</v>
      </c>
      <c r="Y33" s="26">
        <f t="shared" si="18"/>
        <v>4303.405460357666</v>
      </c>
      <c r="Z33" s="26">
        <f t="shared" si="19"/>
        <v>69997.579441130161</v>
      </c>
      <c r="AA33" s="26">
        <f>76+45</f>
        <v>121</v>
      </c>
      <c r="AB33" s="26">
        <f t="shared" si="20"/>
        <v>76.265625</v>
      </c>
      <c r="AC33" s="26">
        <f t="shared" si="21"/>
        <v>5816.445556640625</v>
      </c>
      <c r="AD33" s="26">
        <f t="shared" si="22"/>
        <v>443594.85565567017</v>
      </c>
      <c r="AE33" s="26">
        <f t="shared" si="23"/>
        <v>33831038.91336447</v>
      </c>
      <c r="AF33" s="26">
        <f>86.5+45</f>
        <v>131.5</v>
      </c>
      <c r="AG33" s="26">
        <f t="shared" si="24"/>
        <v>86.765625</v>
      </c>
      <c r="AH33" s="26">
        <f t="shared" si="25"/>
        <v>7528.273681640625</v>
      </c>
      <c r="AI33" s="26">
        <f t="shared" si="26"/>
        <v>653195.37115859985</v>
      </c>
      <c r="AJ33" s="26">
        <f t="shared" si="27"/>
        <v>56674904.62568289</v>
      </c>
      <c r="AK33" s="26">
        <v>14</v>
      </c>
      <c r="AL33" s="26">
        <f t="shared" si="28"/>
        <v>-30.734375</v>
      </c>
      <c r="AM33" s="26">
        <f t="shared" si="29"/>
        <v>944.601806640625</v>
      </c>
      <c r="AN33" s="26">
        <f t="shared" si="30"/>
        <v>-29031.746150970459</v>
      </c>
      <c r="AO33" s="26">
        <f t="shared" si="31"/>
        <v>892272.5731087327</v>
      </c>
      <c r="AP33" s="26">
        <v>56.5</v>
      </c>
      <c r="AQ33" s="26">
        <f t="shared" si="32"/>
        <v>11.765625</v>
      </c>
      <c r="AR33" s="26">
        <f t="shared" si="33"/>
        <v>138.429931640625</v>
      </c>
      <c r="AS33" s="26">
        <f t="shared" si="34"/>
        <v>1628.7146644592285</v>
      </c>
      <c r="AT33" s="26">
        <f t="shared" si="35"/>
        <v>19162.845974028111</v>
      </c>
      <c r="AU33" s="26">
        <v>23.5</v>
      </c>
      <c r="AV33" s="26">
        <f t="shared" si="36"/>
        <v>-21.234375</v>
      </c>
      <c r="AW33" s="26">
        <f t="shared" si="37"/>
        <v>450.898681640625</v>
      </c>
      <c r="AX33" s="26">
        <f t="shared" si="38"/>
        <v>-9574.5516929626465</v>
      </c>
      <c r="AY33" s="26">
        <f t="shared" si="39"/>
        <v>203309.6211052537</v>
      </c>
      <c r="AZ33" s="26">
        <v>109</v>
      </c>
      <c r="BA33" s="26">
        <f t="shared" si="40"/>
        <v>64.265625</v>
      </c>
      <c r="BB33" s="26">
        <f t="shared" si="41"/>
        <v>4130.070556640625</v>
      </c>
      <c r="BC33" s="26">
        <f t="shared" si="42"/>
        <v>265421.56561660767</v>
      </c>
      <c r="BD33" s="26">
        <f t="shared" si="43"/>
        <v>17057482.802829802</v>
      </c>
    </row>
    <row r="34" spans="1:56" ht="12.75" customHeight="1" x14ac:dyDescent="0.2">
      <c r="A34" s="25" t="s">
        <v>58</v>
      </c>
      <c r="B34" s="22"/>
      <c r="C34" s="22"/>
      <c r="D34" s="27">
        <f t="shared" ref="D34:F34" si="45">SUM(D2:D33)</f>
        <v>178.4921875</v>
      </c>
      <c r="E34" s="27">
        <f t="shared" si="45"/>
        <v>114.460693359375</v>
      </c>
      <c r="F34" s="27">
        <f t="shared" si="45"/>
        <v>2442.3298282623291</v>
      </c>
      <c r="G34" s="22"/>
      <c r="H34" s="22"/>
      <c r="I34" s="27">
        <f t="shared" ref="I34:K34" si="46">SUM(I2:I33)</f>
        <v>403.1171875</v>
      </c>
      <c r="J34" s="27">
        <f t="shared" si="46"/>
        <v>460.588623046875</v>
      </c>
      <c r="K34" s="27">
        <f t="shared" si="46"/>
        <v>11940.82183265686</v>
      </c>
      <c r="L34" s="22"/>
      <c r="M34" s="22"/>
      <c r="N34" s="28">
        <f t="shared" ref="N34:P34" si="47">SUM(N2:N33)</f>
        <v>2647.6484375</v>
      </c>
      <c r="O34" s="28">
        <f t="shared" si="47"/>
        <v>32698.75732421875</v>
      </c>
      <c r="P34" s="28">
        <f t="shared" si="47"/>
        <v>510334.42170143127</v>
      </c>
      <c r="Q34" s="22"/>
      <c r="R34" s="22"/>
      <c r="S34" s="28">
        <f t="shared" ref="S34:U34" si="48">SUM(S2:S33)</f>
        <v>550.8828125</v>
      </c>
      <c r="T34" s="28">
        <f t="shared" si="48"/>
        <v>-3215.9910888671875</v>
      </c>
      <c r="U34" s="28">
        <f t="shared" si="48"/>
        <v>25785.504823684692</v>
      </c>
      <c r="V34" s="22"/>
      <c r="W34" s="22"/>
      <c r="X34" s="28">
        <f t="shared" ref="X34:Z34" si="49">SUM(X2:X33)</f>
        <v>6945.9296875</v>
      </c>
      <c r="Y34" s="28">
        <f t="shared" si="49"/>
        <v>118267.35766601563</v>
      </c>
      <c r="Z34" s="28">
        <f t="shared" si="49"/>
        <v>2156960.4169559479</v>
      </c>
      <c r="AA34" s="22"/>
      <c r="AB34" s="22"/>
      <c r="AC34" s="28">
        <f t="shared" ref="AC34:AE34" si="50">SUM(AC2:AC33)</f>
        <v>170092.1171875</v>
      </c>
      <c r="AD34" s="28">
        <f t="shared" si="50"/>
        <v>12540431.709716797</v>
      </c>
      <c r="AE34" s="28">
        <f t="shared" si="50"/>
        <v>930969404.42144108</v>
      </c>
      <c r="AF34" s="22"/>
      <c r="AG34" s="22"/>
      <c r="AH34" s="28">
        <f t="shared" ref="AH34:AJ34" si="51">SUM(AH2:AH33)</f>
        <v>227424.5859375</v>
      </c>
      <c r="AI34" s="28">
        <f t="shared" si="51"/>
        <v>19312394.337890625</v>
      </c>
      <c r="AJ34" s="28">
        <f t="shared" si="51"/>
        <v>1647463175.2331932</v>
      </c>
      <c r="AK34" s="22"/>
      <c r="AL34" s="22"/>
      <c r="AM34" s="28">
        <f t="shared" ref="AM34:AO34" si="52">SUM(AM2:AM33)</f>
        <v>26225.4140625</v>
      </c>
      <c r="AN34" s="28">
        <f t="shared" si="52"/>
        <v>-754694.45129394531</v>
      </c>
      <c r="AO34" s="28">
        <f t="shared" si="52"/>
        <v>21793774.791704178</v>
      </c>
      <c r="AP34" s="22"/>
      <c r="AQ34" s="22"/>
      <c r="AR34" s="28">
        <f t="shared" ref="AR34:AT34" si="53">SUM(AR2:AR33)</f>
        <v>4232.9921875</v>
      </c>
      <c r="AS34" s="28">
        <f t="shared" si="53"/>
        <v>54750.382568359375</v>
      </c>
      <c r="AT34" s="28">
        <f t="shared" si="53"/>
        <v>749958.8286075592</v>
      </c>
      <c r="AU34" s="22"/>
      <c r="AV34" s="22"/>
      <c r="AW34" s="28">
        <f t="shared" ref="AW34:AY34" si="54">SUM(AW2:AW33)</f>
        <v>13970.2734375</v>
      </c>
      <c r="AX34" s="28">
        <f t="shared" si="54"/>
        <v>-299103.37646484375</v>
      </c>
      <c r="AY34" s="28">
        <f t="shared" si="54"/>
        <v>6500364.8145847321</v>
      </c>
      <c r="AZ34" s="22"/>
      <c r="BA34" s="22"/>
      <c r="BB34" s="28">
        <f t="shared" ref="BB34:BD34" si="55">SUM(BB2:BB33)</f>
        <v>112003.4765625</v>
      </c>
      <c r="BC34" s="28">
        <f t="shared" si="55"/>
        <v>6687900.8431396484</v>
      </c>
      <c r="BD34" s="28">
        <f t="shared" si="55"/>
        <v>401925511.45140266</v>
      </c>
    </row>
    <row r="35" spans="1:56" ht="12.75" customHeight="1" x14ac:dyDescent="0.2">
      <c r="A35" s="25" t="s">
        <v>74</v>
      </c>
      <c r="B35" s="29">
        <f t="shared" ref="B35:AZ35" si="56">AVERAGE(B2:B33)</f>
        <v>44.734375</v>
      </c>
      <c r="C35" s="29">
        <f t="shared" si="56"/>
        <v>0</v>
      </c>
      <c r="D35" s="29">
        <f t="shared" si="56"/>
        <v>5.577880859375</v>
      </c>
      <c r="E35" s="29">
        <f t="shared" si="56"/>
        <v>3.5768966674804688</v>
      </c>
      <c r="F35" s="29">
        <f t="shared" si="56"/>
        <v>76.322807133197784</v>
      </c>
      <c r="G35" s="29">
        <f t="shared" si="56"/>
        <v>45.859375</v>
      </c>
      <c r="H35" s="29">
        <f t="shared" si="56"/>
        <v>1.125</v>
      </c>
      <c r="I35" s="29">
        <f t="shared" si="56"/>
        <v>12.597412109375</v>
      </c>
      <c r="J35" s="29">
        <f t="shared" si="56"/>
        <v>14.393394470214844</v>
      </c>
      <c r="K35" s="29">
        <f t="shared" si="56"/>
        <v>373.15068227052689</v>
      </c>
      <c r="L35" s="29">
        <f t="shared" si="56"/>
        <v>50.390625</v>
      </c>
      <c r="M35" s="29">
        <f t="shared" si="56"/>
        <v>5.65625</v>
      </c>
      <c r="N35" s="29">
        <f t="shared" si="56"/>
        <v>82.739013671875</v>
      </c>
      <c r="O35" s="29">
        <f t="shared" si="56"/>
        <v>1021.8361663818359</v>
      </c>
      <c r="P35" s="29">
        <f t="shared" si="56"/>
        <v>15947.950678169727</v>
      </c>
      <c r="Q35" s="29">
        <f t="shared" si="56"/>
        <v>42.125</v>
      </c>
      <c r="R35" s="29">
        <f t="shared" si="56"/>
        <v>-2.609375</v>
      </c>
      <c r="S35" s="29">
        <f t="shared" si="56"/>
        <v>17.215087890625</v>
      </c>
      <c r="T35" s="29">
        <f t="shared" si="56"/>
        <v>-100.49972152709961</v>
      </c>
      <c r="U35" s="29">
        <f t="shared" si="56"/>
        <v>805.79702574014664</v>
      </c>
      <c r="V35" s="29">
        <f t="shared" si="56"/>
        <v>58.671875</v>
      </c>
      <c r="W35" s="29">
        <f t="shared" si="56"/>
        <v>13.9375</v>
      </c>
      <c r="X35" s="29">
        <f t="shared" si="56"/>
        <v>217.060302734375</v>
      </c>
      <c r="Y35" s="29">
        <f t="shared" si="56"/>
        <v>3695.8549270629883</v>
      </c>
      <c r="Z35" s="29">
        <f t="shared" si="56"/>
        <v>67405.013029873371</v>
      </c>
      <c r="AA35" s="29">
        <f t="shared" si="56"/>
        <v>117.359375</v>
      </c>
      <c r="AB35" s="29">
        <f t="shared" si="56"/>
        <v>72.625</v>
      </c>
      <c r="AC35" s="29">
        <f t="shared" si="56"/>
        <v>5315.378662109375</v>
      </c>
      <c r="AD35" s="29">
        <f t="shared" si="56"/>
        <v>391888.4909286499</v>
      </c>
      <c r="AE35" s="29">
        <f t="shared" si="56"/>
        <v>29092793.888170034</v>
      </c>
      <c r="AF35" s="29">
        <f t="shared" si="56"/>
        <v>128.828125</v>
      </c>
      <c r="AG35" s="29">
        <f t="shared" si="56"/>
        <v>84.09375</v>
      </c>
      <c r="AH35" s="29">
        <f t="shared" si="56"/>
        <v>7107.018310546875</v>
      </c>
      <c r="AI35" s="29">
        <f t="shared" si="56"/>
        <v>603512.32305908203</v>
      </c>
      <c r="AJ35" s="29">
        <f t="shared" si="56"/>
        <v>51483224.226037286</v>
      </c>
      <c r="AK35" s="29">
        <f t="shared" si="56"/>
        <v>16.15625</v>
      </c>
      <c r="AL35" s="29">
        <f t="shared" si="56"/>
        <v>-28.578125</v>
      </c>
      <c r="AM35" s="29">
        <f t="shared" si="56"/>
        <v>819.544189453125</v>
      </c>
      <c r="AN35" s="29">
        <f t="shared" si="56"/>
        <v>-23584.201602935791</v>
      </c>
      <c r="AO35" s="29">
        <f t="shared" si="56"/>
        <v>681055.46224075556</v>
      </c>
      <c r="AP35" s="29">
        <f t="shared" si="56"/>
        <v>55.734375</v>
      </c>
      <c r="AQ35" s="29">
        <f t="shared" si="56"/>
        <v>11</v>
      </c>
      <c r="AR35" s="29">
        <f t="shared" si="56"/>
        <v>132.281005859375</v>
      </c>
      <c r="AS35" s="29">
        <f t="shared" si="56"/>
        <v>1710.9494552612305</v>
      </c>
      <c r="AT35" s="29">
        <f t="shared" si="56"/>
        <v>23436.213393986225</v>
      </c>
      <c r="AU35" s="29">
        <f t="shared" si="56"/>
        <v>24.015625</v>
      </c>
      <c r="AV35" s="29">
        <f t="shared" si="56"/>
        <v>-20.71875</v>
      </c>
      <c r="AW35" s="29">
        <f t="shared" si="56"/>
        <v>436.571044921875</v>
      </c>
      <c r="AX35" s="29">
        <f t="shared" si="56"/>
        <v>-9346.9805145263672</v>
      </c>
      <c r="AY35" s="29">
        <f t="shared" si="56"/>
        <v>203136.40045577288</v>
      </c>
      <c r="AZ35" s="29">
        <f t="shared" si="56"/>
        <v>103.71875</v>
      </c>
      <c r="BA35" s="22"/>
      <c r="BB35" s="22"/>
      <c r="BC35" s="22"/>
      <c r="BD35" s="22"/>
    </row>
    <row r="36" spans="1:56" ht="12.75" customHeight="1" x14ac:dyDescent="0.2">
      <c r="A36" s="25" t="s">
        <v>67</v>
      </c>
      <c r="B36" s="22">
        <f t="shared" ref="B36:AZ36" si="57">COUNT(B2:B33)</f>
        <v>32</v>
      </c>
      <c r="C36" s="22">
        <f t="shared" si="57"/>
        <v>32</v>
      </c>
      <c r="D36" s="22">
        <f t="shared" si="57"/>
        <v>32</v>
      </c>
      <c r="E36" s="22">
        <f t="shared" si="57"/>
        <v>32</v>
      </c>
      <c r="F36" s="22">
        <f t="shared" si="57"/>
        <v>32</v>
      </c>
      <c r="G36" s="22">
        <f t="shared" si="57"/>
        <v>32</v>
      </c>
      <c r="H36" s="22">
        <f t="shared" si="57"/>
        <v>32</v>
      </c>
      <c r="I36" s="22">
        <f t="shared" si="57"/>
        <v>32</v>
      </c>
      <c r="J36" s="22">
        <f t="shared" si="57"/>
        <v>32</v>
      </c>
      <c r="K36" s="22">
        <f t="shared" si="57"/>
        <v>32</v>
      </c>
      <c r="L36" s="22">
        <f t="shared" si="57"/>
        <v>32</v>
      </c>
      <c r="M36" s="22">
        <f t="shared" si="57"/>
        <v>32</v>
      </c>
      <c r="N36" s="22">
        <f t="shared" si="57"/>
        <v>32</v>
      </c>
      <c r="O36" s="22">
        <f t="shared" si="57"/>
        <v>32</v>
      </c>
      <c r="P36" s="22">
        <f t="shared" si="57"/>
        <v>32</v>
      </c>
      <c r="Q36" s="22">
        <f t="shared" si="57"/>
        <v>32</v>
      </c>
      <c r="R36" s="22">
        <f t="shared" si="57"/>
        <v>32</v>
      </c>
      <c r="S36" s="22">
        <f t="shared" si="57"/>
        <v>32</v>
      </c>
      <c r="T36" s="22">
        <f t="shared" si="57"/>
        <v>32</v>
      </c>
      <c r="U36" s="22">
        <f t="shared" si="57"/>
        <v>32</v>
      </c>
      <c r="V36" s="22">
        <f t="shared" si="57"/>
        <v>32</v>
      </c>
      <c r="W36" s="22">
        <f t="shared" si="57"/>
        <v>32</v>
      </c>
      <c r="X36" s="22">
        <f t="shared" si="57"/>
        <v>32</v>
      </c>
      <c r="Y36" s="22">
        <f t="shared" si="57"/>
        <v>32</v>
      </c>
      <c r="Z36" s="22">
        <f t="shared" si="57"/>
        <v>32</v>
      </c>
      <c r="AA36" s="22">
        <f t="shared" si="57"/>
        <v>32</v>
      </c>
      <c r="AB36" s="22">
        <f t="shared" si="57"/>
        <v>32</v>
      </c>
      <c r="AC36" s="22">
        <f t="shared" si="57"/>
        <v>32</v>
      </c>
      <c r="AD36" s="22">
        <f t="shared" si="57"/>
        <v>32</v>
      </c>
      <c r="AE36" s="22">
        <f t="shared" si="57"/>
        <v>32</v>
      </c>
      <c r="AF36" s="22">
        <f t="shared" si="57"/>
        <v>32</v>
      </c>
      <c r="AG36" s="22">
        <f t="shared" si="57"/>
        <v>32</v>
      </c>
      <c r="AH36" s="22">
        <f t="shared" si="57"/>
        <v>32</v>
      </c>
      <c r="AI36" s="22">
        <f t="shared" si="57"/>
        <v>32</v>
      </c>
      <c r="AJ36" s="22">
        <f t="shared" si="57"/>
        <v>32</v>
      </c>
      <c r="AK36" s="22">
        <f t="shared" si="57"/>
        <v>32</v>
      </c>
      <c r="AL36" s="22">
        <f t="shared" si="57"/>
        <v>32</v>
      </c>
      <c r="AM36" s="22">
        <f t="shared" si="57"/>
        <v>32</v>
      </c>
      <c r="AN36" s="22">
        <f t="shared" si="57"/>
        <v>32</v>
      </c>
      <c r="AO36" s="22">
        <f t="shared" si="57"/>
        <v>32</v>
      </c>
      <c r="AP36" s="22">
        <f t="shared" si="57"/>
        <v>32</v>
      </c>
      <c r="AQ36" s="22">
        <f t="shared" si="57"/>
        <v>32</v>
      </c>
      <c r="AR36" s="22">
        <f t="shared" si="57"/>
        <v>32</v>
      </c>
      <c r="AS36" s="22">
        <f t="shared" si="57"/>
        <v>32</v>
      </c>
      <c r="AT36" s="22">
        <f t="shared" si="57"/>
        <v>32</v>
      </c>
      <c r="AU36" s="22">
        <f t="shared" si="57"/>
        <v>32</v>
      </c>
      <c r="AV36" s="22">
        <f t="shared" si="57"/>
        <v>32</v>
      </c>
      <c r="AW36" s="22">
        <f t="shared" si="57"/>
        <v>32</v>
      </c>
      <c r="AX36" s="22">
        <f t="shared" si="57"/>
        <v>32</v>
      </c>
      <c r="AY36" s="22">
        <f t="shared" si="57"/>
        <v>32</v>
      </c>
      <c r="AZ36" s="22">
        <f t="shared" si="57"/>
        <v>32</v>
      </c>
      <c r="BA36" s="22"/>
      <c r="BB36" s="22"/>
      <c r="BC36" s="22"/>
      <c r="BD36" s="22"/>
    </row>
    <row r="37" spans="1:56" ht="12.75" customHeight="1" x14ac:dyDescent="0.2">
      <c r="A37" s="25" t="s">
        <v>75</v>
      </c>
      <c r="B37" s="27">
        <f t="shared" ref="B37:AZ37" si="58">(E34/B36)/(D34/B36)^3/2</f>
        <v>1.030549121018564E-2</v>
      </c>
      <c r="C37" s="27">
        <f t="shared" si="58"/>
        <v>0.83388307152631702</v>
      </c>
      <c r="D37" s="27">
        <f t="shared" si="58"/>
        <v>0</v>
      </c>
      <c r="E37" s="27" t="e">
        <f t="shared" si="58"/>
        <v>#DIV/0!</v>
      </c>
      <c r="F37" s="27" t="e">
        <f t="shared" si="58"/>
        <v>#DIV/0!</v>
      </c>
      <c r="G37" s="27">
        <f t="shared" si="58"/>
        <v>3.599889923763751E-3</v>
      </c>
      <c r="H37" s="27">
        <f t="shared" si="58"/>
        <v>6.2569770269506941E-2</v>
      </c>
      <c r="I37" s="27">
        <f t="shared" si="58"/>
        <v>0</v>
      </c>
      <c r="J37" s="27" t="e">
        <f t="shared" si="58"/>
        <v>#DIV/0!</v>
      </c>
      <c r="K37" s="27" t="e">
        <f t="shared" si="58"/>
        <v>#DIV/0!</v>
      </c>
      <c r="L37" s="27">
        <f t="shared" si="58"/>
        <v>9.0202849277386905E-4</v>
      </c>
      <c r="M37" s="27">
        <f t="shared" si="58"/>
        <v>7.4736211453210889E-6</v>
      </c>
      <c r="N37" s="27">
        <f t="shared" si="58"/>
        <v>0</v>
      </c>
      <c r="O37" s="27" t="e">
        <f t="shared" si="58"/>
        <v>#DIV/0!</v>
      </c>
      <c r="P37" s="27" t="e">
        <f t="shared" si="58"/>
        <v>#DIV/0!</v>
      </c>
      <c r="Q37" s="27">
        <f t="shared" si="58"/>
        <v>-9.8493400043802824E-3</v>
      </c>
      <c r="R37" s="27">
        <f t="shared" si="58"/>
        <v>-3.9691826950486814E-4</v>
      </c>
      <c r="S37" s="27">
        <f t="shared" si="58"/>
        <v>0</v>
      </c>
      <c r="T37" s="27" t="e">
        <f t="shared" si="58"/>
        <v>#DIV/0!</v>
      </c>
      <c r="U37" s="27" t="e">
        <f t="shared" si="58"/>
        <v>#DIV/0!</v>
      </c>
      <c r="V37" s="27">
        <f t="shared" si="58"/>
        <v>1.8069398953006311E-4</v>
      </c>
      <c r="W37" s="27">
        <f t="shared" si="58"/>
        <v>6.6760173179991092E-7</v>
      </c>
      <c r="X37" s="27">
        <f t="shared" si="58"/>
        <v>0</v>
      </c>
      <c r="Y37" s="27" t="e">
        <f t="shared" si="58"/>
        <v>#DIV/0!</v>
      </c>
      <c r="Z37" s="27" t="e">
        <f t="shared" si="58"/>
        <v>#DIV/0!</v>
      </c>
      <c r="AA37" s="27">
        <f t="shared" si="58"/>
        <v>1.3047577572787202E-6</v>
      </c>
      <c r="AB37" s="27">
        <f t="shared" si="58"/>
        <v>2.4169513396551686E-10</v>
      </c>
      <c r="AC37" s="27">
        <f t="shared" si="58"/>
        <v>0</v>
      </c>
      <c r="AD37" s="27" t="e">
        <f t="shared" si="58"/>
        <v>#DIV/0!</v>
      </c>
      <c r="AE37" s="27" t="e">
        <f t="shared" si="58"/>
        <v>#DIV/0!</v>
      </c>
      <c r="AF37" s="27">
        <f t="shared" si="58"/>
        <v>8.4060862858864375E-7</v>
      </c>
      <c r="AG37" s="27">
        <f t="shared" si="58"/>
        <v>1.1710550596747911E-10</v>
      </c>
      <c r="AH37" s="27">
        <f t="shared" si="58"/>
        <v>0</v>
      </c>
      <c r="AI37" s="27" t="e">
        <f t="shared" si="58"/>
        <v>#DIV/0!</v>
      </c>
      <c r="AJ37" s="27" t="e">
        <f t="shared" si="58"/>
        <v>#DIV/0!</v>
      </c>
      <c r="AK37" s="27">
        <f t="shared" si="58"/>
        <v>-2.1422692621885327E-5</v>
      </c>
      <c r="AL37" s="27">
        <f t="shared" si="58"/>
        <v>-2.5959059200189375E-8</v>
      </c>
      <c r="AM37" s="27">
        <f t="shared" si="58"/>
        <v>0</v>
      </c>
      <c r="AN37" s="27" t="e">
        <f t="shared" si="58"/>
        <v>#DIV/0!</v>
      </c>
      <c r="AO37" s="27" t="e">
        <f t="shared" si="58"/>
        <v>#DIV/0!</v>
      </c>
      <c r="AP37" s="27">
        <f t="shared" si="58"/>
        <v>3.6958532485623574E-4</v>
      </c>
      <c r="AQ37" s="27">
        <f t="shared" si="58"/>
        <v>2.3396231425485922E-6</v>
      </c>
      <c r="AR37" s="27">
        <f t="shared" si="58"/>
        <v>0</v>
      </c>
      <c r="AS37" s="27" t="e">
        <f t="shared" si="58"/>
        <v>#DIV/0!</v>
      </c>
      <c r="AT37" s="27" t="e">
        <f t="shared" si="58"/>
        <v>#DIV/0!</v>
      </c>
      <c r="AU37" s="27">
        <f t="shared" si="58"/>
        <v>-5.6166395911792605E-5</v>
      </c>
      <c r="AV37" s="27">
        <f t="shared" si="58"/>
        <v>-1.243780503602303E-7</v>
      </c>
      <c r="AW37" s="27">
        <f t="shared" si="58"/>
        <v>0</v>
      </c>
      <c r="AX37" s="27" t="e">
        <f t="shared" si="58"/>
        <v>#DIV/0!</v>
      </c>
      <c r="AY37" s="27" t="e">
        <f t="shared" si="58"/>
        <v>#DIV/0!</v>
      </c>
      <c r="AZ37" s="27">
        <f t="shared" si="58"/>
        <v>2.4370546974110497E-6</v>
      </c>
      <c r="BA37" s="22"/>
      <c r="BB37" s="22"/>
      <c r="BC37" s="22"/>
      <c r="BD37" s="22"/>
    </row>
    <row r="38" spans="1:56" ht="12.75" customHeight="1" x14ac:dyDescent="0.2">
      <c r="A38" s="25" t="s">
        <v>76</v>
      </c>
      <c r="B38" s="27">
        <f t="shared" ref="B38:AZ38" si="59">(F34/B36)/(D34/B36)^2</f>
        <v>2.4531034755417847</v>
      </c>
      <c r="C38" s="27">
        <f t="shared" si="59"/>
        <v>0</v>
      </c>
      <c r="D38" s="27">
        <f t="shared" si="59"/>
        <v>0</v>
      </c>
      <c r="E38" s="27" t="e">
        <f t="shared" si="59"/>
        <v>#DIV/0!</v>
      </c>
      <c r="F38" s="27" t="e">
        <f t="shared" si="59"/>
        <v>#DIV/0!</v>
      </c>
      <c r="G38" s="27">
        <f t="shared" si="59"/>
        <v>2.3513732108812531</v>
      </c>
      <c r="H38" s="27">
        <f t="shared" si="59"/>
        <v>0</v>
      </c>
      <c r="I38" s="27">
        <f t="shared" si="59"/>
        <v>0</v>
      </c>
      <c r="J38" s="27" t="e">
        <f t="shared" si="59"/>
        <v>#DIV/0!</v>
      </c>
      <c r="K38" s="27" t="e">
        <f t="shared" si="59"/>
        <v>#DIV/0!</v>
      </c>
      <c r="L38" s="27">
        <f t="shared" si="59"/>
        <v>2.3296152741042517</v>
      </c>
      <c r="M38" s="27">
        <f t="shared" si="59"/>
        <v>0</v>
      </c>
      <c r="N38" s="27">
        <f t="shared" si="59"/>
        <v>0</v>
      </c>
      <c r="O38" s="27" t="e">
        <f t="shared" si="59"/>
        <v>#DIV/0!</v>
      </c>
      <c r="P38" s="27" t="e">
        <f t="shared" si="59"/>
        <v>#DIV/0!</v>
      </c>
      <c r="Q38" s="27">
        <f t="shared" si="59"/>
        <v>2.7189872521217273</v>
      </c>
      <c r="R38" s="27">
        <f t="shared" si="59"/>
        <v>0</v>
      </c>
      <c r="S38" s="27">
        <f t="shared" si="59"/>
        <v>0</v>
      </c>
      <c r="T38" s="27" t="e">
        <f t="shared" si="59"/>
        <v>#DIV/0!</v>
      </c>
      <c r="U38" s="27" t="e">
        <f t="shared" si="59"/>
        <v>#DIV/0!</v>
      </c>
      <c r="V38" s="27">
        <f t="shared" si="59"/>
        <v>1.4306433754468788</v>
      </c>
      <c r="W38" s="27">
        <f t="shared" si="59"/>
        <v>0</v>
      </c>
      <c r="X38" s="27">
        <f t="shared" si="59"/>
        <v>0</v>
      </c>
      <c r="Y38" s="27" t="e">
        <f t="shared" si="59"/>
        <v>#DIV/0!</v>
      </c>
      <c r="Z38" s="27" t="e">
        <f t="shared" si="59"/>
        <v>#DIV/0!</v>
      </c>
      <c r="AA38" s="27">
        <f t="shared" si="59"/>
        <v>1.0297149374675774</v>
      </c>
      <c r="AB38" s="27">
        <f t="shared" si="59"/>
        <v>0</v>
      </c>
      <c r="AC38" s="27">
        <f t="shared" si="59"/>
        <v>0</v>
      </c>
      <c r="AD38" s="27" t="e">
        <f t="shared" si="59"/>
        <v>#DIV/0!</v>
      </c>
      <c r="AE38" s="27" t="e">
        <f t="shared" si="59"/>
        <v>#DIV/0!</v>
      </c>
      <c r="AF38" s="27">
        <f t="shared" si="59"/>
        <v>1.0192738183158658</v>
      </c>
      <c r="AG38" s="27">
        <f t="shared" si="59"/>
        <v>0</v>
      </c>
      <c r="AH38" s="27">
        <f t="shared" si="59"/>
        <v>0</v>
      </c>
      <c r="AI38" s="27" t="e">
        <f t="shared" si="59"/>
        <v>#DIV/0!</v>
      </c>
      <c r="AJ38" s="27" t="e">
        <f t="shared" si="59"/>
        <v>#DIV/0!</v>
      </c>
      <c r="AK38" s="27">
        <f t="shared" si="59"/>
        <v>1.0139994733525752</v>
      </c>
      <c r="AL38" s="27">
        <f t="shared" si="59"/>
        <v>0</v>
      </c>
      <c r="AM38" s="27">
        <f t="shared" si="59"/>
        <v>0</v>
      </c>
      <c r="AN38" s="27" t="e">
        <f t="shared" si="59"/>
        <v>#DIV/0!</v>
      </c>
      <c r="AO38" s="27" t="e">
        <f t="shared" si="59"/>
        <v>#DIV/0!</v>
      </c>
      <c r="AP38" s="27">
        <f t="shared" si="59"/>
        <v>1.3393450178461079</v>
      </c>
      <c r="AQ38" s="27">
        <f t="shared" si="59"/>
        <v>0</v>
      </c>
      <c r="AR38" s="27">
        <f t="shared" si="59"/>
        <v>0</v>
      </c>
      <c r="AS38" s="27" t="e">
        <f t="shared" si="59"/>
        <v>#DIV/0!</v>
      </c>
      <c r="AT38" s="27" t="e">
        <f t="shared" si="59"/>
        <v>#DIV/0!</v>
      </c>
      <c r="AU38" s="27">
        <f t="shared" si="59"/>
        <v>1.0658053503579794</v>
      </c>
      <c r="AV38" s="27">
        <f t="shared" si="59"/>
        <v>0</v>
      </c>
      <c r="AW38" s="27">
        <f t="shared" si="59"/>
        <v>0</v>
      </c>
      <c r="AX38" s="27" t="e">
        <f t="shared" si="59"/>
        <v>#DIV/0!</v>
      </c>
      <c r="AY38" s="27" t="e">
        <f t="shared" si="59"/>
        <v>#DIV/0!</v>
      </c>
      <c r="AZ38" s="27">
        <f t="shared" si="59"/>
        <v>1.0252565318502038</v>
      </c>
      <c r="BA38" s="22"/>
      <c r="BB38" s="22"/>
      <c r="BC38" s="22"/>
      <c r="BD38" s="22"/>
    </row>
    <row r="39" spans="1:56" ht="12.75" customHeight="1" x14ac:dyDescent="0.2">
      <c r="A39" s="25" t="s">
        <v>77</v>
      </c>
      <c r="B39" s="27">
        <f t="shared" ref="B39:AZ39" si="60">B36/6*(B37^2+1/4*(B38-3)^2)</f>
        <v>0.39936082808107765</v>
      </c>
      <c r="C39" s="27">
        <f t="shared" si="60"/>
        <v>15.708591877216879</v>
      </c>
      <c r="D39" s="27">
        <f t="shared" si="60"/>
        <v>12</v>
      </c>
      <c r="E39" s="27" t="e">
        <f t="shared" si="60"/>
        <v>#DIV/0!</v>
      </c>
      <c r="F39" s="27" t="e">
        <f t="shared" si="60"/>
        <v>#DIV/0!</v>
      </c>
      <c r="G39" s="27">
        <f t="shared" si="60"/>
        <v>0.56102473118979768</v>
      </c>
      <c r="H39" s="27">
        <f t="shared" si="60"/>
        <v>12.020879872808422</v>
      </c>
      <c r="I39" s="27">
        <f t="shared" si="60"/>
        <v>12</v>
      </c>
      <c r="J39" s="27" t="e">
        <f t="shared" si="60"/>
        <v>#DIV/0!</v>
      </c>
      <c r="K39" s="27" t="e">
        <f t="shared" si="60"/>
        <v>#DIV/0!</v>
      </c>
      <c r="L39" s="27">
        <f t="shared" si="60"/>
        <v>0.59922524711456615</v>
      </c>
      <c r="M39" s="27">
        <f t="shared" si="60"/>
        <v>12.000000000297891</v>
      </c>
      <c r="N39" s="27">
        <f t="shared" si="60"/>
        <v>12</v>
      </c>
      <c r="O39" s="27" t="e">
        <f t="shared" si="60"/>
        <v>#DIV/0!</v>
      </c>
      <c r="P39" s="27" t="e">
        <f t="shared" si="60"/>
        <v>#DIV/0!</v>
      </c>
      <c r="Q39" s="27">
        <f t="shared" si="60"/>
        <v>0.10580826995224692</v>
      </c>
      <c r="R39" s="27">
        <f t="shared" si="60"/>
        <v>12.000000840235268</v>
      </c>
      <c r="S39" s="27">
        <f t="shared" si="60"/>
        <v>12</v>
      </c>
      <c r="T39" s="27" t="e">
        <f t="shared" si="60"/>
        <v>#DIV/0!</v>
      </c>
      <c r="U39" s="27" t="e">
        <f t="shared" si="60"/>
        <v>#DIV/0!</v>
      </c>
      <c r="V39" s="27">
        <f t="shared" si="60"/>
        <v>3.2838404608400502</v>
      </c>
      <c r="W39" s="27">
        <f t="shared" si="60"/>
        <v>12.000000000002377</v>
      </c>
      <c r="X39" s="27">
        <f t="shared" si="60"/>
        <v>12</v>
      </c>
      <c r="Y39" s="27" t="e">
        <f t="shared" si="60"/>
        <v>#DIV/0!</v>
      </c>
      <c r="Z39" s="27" t="e">
        <f t="shared" si="60"/>
        <v>#DIV/0!</v>
      </c>
      <c r="AA39" s="27">
        <f t="shared" si="60"/>
        <v>5.1760309701936027</v>
      </c>
      <c r="AB39" s="27">
        <f t="shared" si="60"/>
        <v>12</v>
      </c>
      <c r="AC39" s="27">
        <f t="shared" si="60"/>
        <v>12</v>
      </c>
      <c r="AD39" s="27" t="e">
        <f t="shared" si="60"/>
        <v>#DIV/0!</v>
      </c>
      <c r="AE39" s="27" t="e">
        <f t="shared" si="60"/>
        <v>#DIV/0!</v>
      </c>
      <c r="AF39" s="27">
        <f t="shared" si="60"/>
        <v>5.2310349424157812</v>
      </c>
      <c r="AG39" s="27">
        <f t="shared" si="60"/>
        <v>12</v>
      </c>
      <c r="AH39" s="27">
        <f t="shared" si="60"/>
        <v>12</v>
      </c>
      <c r="AI39" s="27" t="e">
        <f t="shared" si="60"/>
        <v>#DIV/0!</v>
      </c>
      <c r="AJ39" s="27" t="e">
        <f t="shared" si="60"/>
        <v>#DIV/0!</v>
      </c>
      <c r="AK39" s="27">
        <f t="shared" si="60"/>
        <v>5.2589307915727677</v>
      </c>
      <c r="AL39" s="27">
        <f t="shared" si="60"/>
        <v>12.000000000000004</v>
      </c>
      <c r="AM39" s="27">
        <f t="shared" si="60"/>
        <v>12</v>
      </c>
      <c r="AN39" s="27" t="e">
        <f t="shared" si="60"/>
        <v>#DIV/0!</v>
      </c>
      <c r="AO39" s="27" t="e">
        <f t="shared" si="60"/>
        <v>#DIV/0!</v>
      </c>
      <c r="AP39" s="27">
        <f t="shared" si="60"/>
        <v>3.6770340215010568</v>
      </c>
      <c r="AQ39" s="27">
        <f t="shared" si="60"/>
        <v>12.000000000029193</v>
      </c>
      <c r="AR39" s="27">
        <f t="shared" si="60"/>
        <v>12</v>
      </c>
      <c r="AS39" s="27" t="e">
        <f t="shared" si="60"/>
        <v>#DIV/0!</v>
      </c>
      <c r="AT39" s="27" t="e">
        <f t="shared" si="60"/>
        <v>#DIV/0!</v>
      </c>
      <c r="AU39" s="27">
        <f t="shared" si="60"/>
        <v>4.9881452737632994</v>
      </c>
      <c r="AV39" s="27">
        <f t="shared" si="60"/>
        <v>12.000000000000082</v>
      </c>
      <c r="AW39" s="27">
        <f t="shared" si="60"/>
        <v>12</v>
      </c>
      <c r="AX39" s="27" t="e">
        <f t="shared" si="60"/>
        <v>#DIV/0!</v>
      </c>
      <c r="AY39" s="27" t="e">
        <f t="shared" si="60"/>
        <v>#DIV/0!</v>
      </c>
      <c r="AZ39" s="27">
        <f t="shared" si="60"/>
        <v>5.1994823533653891</v>
      </c>
      <c r="BA39" s="22"/>
      <c r="BB39" s="22"/>
      <c r="BC39" s="22"/>
      <c r="BD39" s="22"/>
    </row>
    <row r="40" spans="1:56" ht="12.75" hidden="1" customHeight="1" x14ac:dyDescent="0.2">
      <c r="A40" s="25" t="s">
        <v>78</v>
      </c>
      <c r="B40" s="27">
        <f t="shared" ref="B40:AZ40" si="61">43.773+0.2*(55.758-43.773)</f>
        <v>46.17</v>
      </c>
      <c r="C40" s="27">
        <f t="shared" si="61"/>
        <v>46.17</v>
      </c>
      <c r="D40" s="27">
        <f t="shared" si="61"/>
        <v>46.17</v>
      </c>
      <c r="E40" s="27">
        <f t="shared" si="61"/>
        <v>46.17</v>
      </c>
      <c r="F40" s="27">
        <f t="shared" si="61"/>
        <v>46.17</v>
      </c>
      <c r="G40" s="27">
        <f t="shared" si="61"/>
        <v>46.17</v>
      </c>
      <c r="H40" s="27">
        <f t="shared" si="61"/>
        <v>46.17</v>
      </c>
      <c r="I40" s="27">
        <f t="shared" si="61"/>
        <v>46.17</v>
      </c>
      <c r="J40" s="27">
        <f t="shared" si="61"/>
        <v>46.17</v>
      </c>
      <c r="K40" s="27">
        <f t="shared" si="61"/>
        <v>46.17</v>
      </c>
      <c r="L40" s="27">
        <f t="shared" si="61"/>
        <v>46.17</v>
      </c>
      <c r="M40" s="27">
        <f t="shared" si="61"/>
        <v>46.17</v>
      </c>
      <c r="N40" s="27">
        <f t="shared" si="61"/>
        <v>46.17</v>
      </c>
      <c r="O40" s="27">
        <f t="shared" si="61"/>
        <v>46.17</v>
      </c>
      <c r="P40" s="27">
        <f t="shared" si="61"/>
        <v>46.17</v>
      </c>
      <c r="Q40" s="27">
        <f t="shared" si="61"/>
        <v>46.17</v>
      </c>
      <c r="R40" s="27">
        <f t="shared" si="61"/>
        <v>46.17</v>
      </c>
      <c r="S40" s="27">
        <f t="shared" si="61"/>
        <v>46.17</v>
      </c>
      <c r="T40" s="27">
        <f t="shared" si="61"/>
        <v>46.17</v>
      </c>
      <c r="U40" s="27">
        <f t="shared" si="61"/>
        <v>46.17</v>
      </c>
      <c r="V40" s="27">
        <f t="shared" si="61"/>
        <v>46.17</v>
      </c>
      <c r="W40" s="27">
        <f t="shared" si="61"/>
        <v>46.17</v>
      </c>
      <c r="X40" s="27">
        <f t="shared" si="61"/>
        <v>46.17</v>
      </c>
      <c r="Y40" s="27">
        <f t="shared" si="61"/>
        <v>46.17</v>
      </c>
      <c r="Z40" s="27">
        <f t="shared" si="61"/>
        <v>46.17</v>
      </c>
      <c r="AA40" s="27">
        <f t="shared" si="61"/>
        <v>46.17</v>
      </c>
      <c r="AB40" s="27">
        <f t="shared" si="61"/>
        <v>46.17</v>
      </c>
      <c r="AC40" s="27">
        <f t="shared" si="61"/>
        <v>46.17</v>
      </c>
      <c r="AD40" s="27">
        <f t="shared" si="61"/>
        <v>46.17</v>
      </c>
      <c r="AE40" s="27">
        <f t="shared" si="61"/>
        <v>46.17</v>
      </c>
      <c r="AF40" s="27">
        <f t="shared" si="61"/>
        <v>46.17</v>
      </c>
      <c r="AG40" s="27">
        <f t="shared" si="61"/>
        <v>46.17</v>
      </c>
      <c r="AH40" s="27">
        <f t="shared" si="61"/>
        <v>46.17</v>
      </c>
      <c r="AI40" s="27">
        <f t="shared" si="61"/>
        <v>46.17</v>
      </c>
      <c r="AJ40" s="27">
        <f t="shared" si="61"/>
        <v>46.17</v>
      </c>
      <c r="AK40" s="27">
        <f t="shared" si="61"/>
        <v>46.17</v>
      </c>
      <c r="AL40" s="27">
        <f t="shared" si="61"/>
        <v>46.17</v>
      </c>
      <c r="AM40" s="27">
        <f t="shared" si="61"/>
        <v>46.17</v>
      </c>
      <c r="AN40" s="27">
        <f t="shared" si="61"/>
        <v>46.17</v>
      </c>
      <c r="AO40" s="27">
        <f t="shared" si="61"/>
        <v>46.17</v>
      </c>
      <c r="AP40" s="27">
        <f t="shared" si="61"/>
        <v>46.17</v>
      </c>
      <c r="AQ40" s="27">
        <f t="shared" si="61"/>
        <v>46.17</v>
      </c>
      <c r="AR40" s="27">
        <f t="shared" si="61"/>
        <v>46.17</v>
      </c>
      <c r="AS40" s="27">
        <f t="shared" si="61"/>
        <v>46.17</v>
      </c>
      <c r="AT40" s="27">
        <f t="shared" si="61"/>
        <v>46.17</v>
      </c>
      <c r="AU40" s="27">
        <f t="shared" si="61"/>
        <v>46.17</v>
      </c>
      <c r="AV40" s="27">
        <f t="shared" si="61"/>
        <v>46.17</v>
      </c>
      <c r="AW40" s="27">
        <f t="shared" si="61"/>
        <v>46.17</v>
      </c>
      <c r="AX40" s="27">
        <f t="shared" si="61"/>
        <v>46.17</v>
      </c>
      <c r="AY40" s="27">
        <f t="shared" si="61"/>
        <v>46.17</v>
      </c>
      <c r="AZ40" s="27">
        <f t="shared" si="61"/>
        <v>46.17</v>
      </c>
      <c r="BA40" s="22"/>
      <c r="BB40" s="22"/>
      <c r="BC40" s="22"/>
      <c r="BD40" s="22"/>
    </row>
    <row r="41" spans="1:56" ht="12.75" hidden="1" customHeight="1" x14ac:dyDescent="0.2">
      <c r="A41" s="25" t="s">
        <v>79</v>
      </c>
      <c r="B41" s="27" t="str">
        <f>IF(B39&lt;=B40,"normal", "tidak normal")</f>
        <v>normal</v>
      </c>
      <c r="C41" s="27"/>
      <c r="D41" s="27"/>
      <c r="E41" s="27"/>
      <c r="F41" s="27"/>
      <c r="G41" s="27" t="str">
        <f>IF(G39&lt;=G40,"normal", "tidak normal")</f>
        <v>normal</v>
      </c>
      <c r="H41" s="27"/>
      <c r="I41" s="27"/>
      <c r="J41" s="27"/>
      <c r="K41" s="27"/>
      <c r="L41" s="27" t="str">
        <f>IF(L39&lt;=L40,"normal", "tidak normal")</f>
        <v>normal</v>
      </c>
      <c r="M41" s="27"/>
      <c r="N41" s="27"/>
      <c r="O41" s="27"/>
      <c r="P41" s="27"/>
      <c r="Q41" s="27" t="str">
        <f>IF(Q39&lt;=Q40,"normal", "tidak normal")</f>
        <v>normal</v>
      </c>
      <c r="R41" s="27"/>
      <c r="S41" s="27"/>
      <c r="T41" s="27"/>
      <c r="U41" s="27"/>
      <c r="V41" s="27" t="str">
        <f>IF(V39&lt;=V40,"normal", "tidak normal")</f>
        <v>normal</v>
      </c>
      <c r="W41" s="27"/>
      <c r="X41" s="27"/>
      <c r="Y41" s="27"/>
      <c r="Z41" s="27"/>
      <c r="AA41" s="27" t="str">
        <f>IF(AA39&lt;=AA40,"normal", "tidak normal")</f>
        <v>normal</v>
      </c>
      <c r="AB41" s="27"/>
      <c r="AC41" s="27"/>
      <c r="AD41" s="27"/>
      <c r="AE41" s="27"/>
      <c r="AF41" s="27" t="str">
        <f>IF(AF39&lt;=AF40,"normal", "tidak normal")</f>
        <v>normal</v>
      </c>
      <c r="AG41" s="27"/>
      <c r="AH41" s="27"/>
      <c r="AI41" s="27"/>
      <c r="AJ41" s="27"/>
      <c r="AK41" s="27" t="str">
        <f>IF(AK39&lt;=AK40,"normal", "tidak normal")</f>
        <v>normal</v>
      </c>
      <c r="AL41" s="27"/>
      <c r="AM41" s="27"/>
      <c r="AN41" s="27"/>
      <c r="AO41" s="27"/>
      <c r="AP41" s="27" t="str">
        <f>IF(AP39&lt;=AP40,"normal", "tidak normal")</f>
        <v>normal</v>
      </c>
      <c r="AQ41" s="27"/>
      <c r="AR41" s="27"/>
      <c r="AS41" s="27"/>
      <c r="AT41" s="27"/>
      <c r="AU41" s="27" t="str">
        <f>IF(AU39&lt;=AU40,"normal", "tidak normal")</f>
        <v>normal</v>
      </c>
      <c r="AV41" s="27"/>
      <c r="AW41" s="27"/>
      <c r="AX41" s="27"/>
      <c r="AY41" s="27"/>
      <c r="AZ41" s="27" t="str">
        <f>IF(AZ39&lt;=AZ40,"normal", "tidak normal")</f>
        <v>normal</v>
      </c>
      <c r="BA41" s="22"/>
      <c r="BB41" s="22"/>
      <c r="BC41" s="22"/>
      <c r="BD41" s="22"/>
    </row>
    <row r="42" spans="1:56" ht="12.75" customHeight="1" x14ac:dyDescent="0.2">
      <c r="A42" s="25" t="s">
        <v>80</v>
      </c>
      <c r="B42" s="30">
        <f t="shared" ref="B42:AZ42" si="62">CHIDIST(B39,2)</f>
        <v>0.81899244974630769</v>
      </c>
      <c r="C42" s="30">
        <f t="shared" si="62"/>
        <v>3.8808120903363976E-4</v>
      </c>
      <c r="D42" s="30">
        <f t="shared" si="62"/>
        <v>2.4787521766663585E-3</v>
      </c>
      <c r="E42" s="30" t="e">
        <f t="shared" si="62"/>
        <v>#DIV/0!</v>
      </c>
      <c r="F42" s="30" t="e">
        <f t="shared" si="62"/>
        <v>#DIV/0!</v>
      </c>
      <c r="G42" s="30">
        <f t="shared" si="62"/>
        <v>0.75539660305608713</v>
      </c>
      <c r="H42" s="30">
        <f t="shared" si="62"/>
        <v>2.4530087751364563E-3</v>
      </c>
      <c r="I42" s="30">
        <f t="shared" si="62"/>
        <v>2.4787521766663585E-3</v>
      </c>
      <c r="J42" s="30" t="e">
        <f t="shared" si="62"/>
        <v>#DIV/0!</v>
      </c>
      <c r="K42" s="30" t="e">
        <f t="shared" si="62"/>
        <v>#DIV/0!</v>
      </c>
      <c r="L42" s="30">
        <f t="shared" si="62"/>
        <v>0.74110525179970277</v>
      </c>
      <c r="M42" s="30">
        <f t="shared" si="62"/>
        <v>2.478752176297159E-3</v>
      </c>
      <c r="N42" s="30">
        <f t="shared" si="62"/>
        <v>2.4787521766663585E-3</v>
      </c>
      <c r="O42" s="30" t="e">
        <f t="shared" si="62"/>
        <v>#DIV/0!</v>
      </c>
      <c r="P42" s="30" t="e">
        <f t="shared" si="62"/>
        <v>#DIV/0!</v>
      </c>
      <c r="Q42" s="30">
        <f t="shared" si="62"/>
        <v>0.94847093331283305</v>
      </c>
      <c r="R42" s="30">
        <f t="shared" si="62"/>
        <v>2.4787511352990775E-3</v>
      </c>
      <c r="S42" s="30">
        <f t="shared" si="62"/>
        <v>2.4787521766663585E-3</v>
      </c>
      <c r="T42" s="30" t="e">
        <f t="shared" si="62"/>
        <v>#DIV/0!</v>
      </c>
      <c r="U42" s="30" t="e">
        <f t="shared" si="62"/>
        <v>#DIV/0!</v>
      </c>
      <c r="V42" s="30">
        <f t="shared" si="62"/>
        <v>0.19360791331384358</v>
      </c>
      <c r="W42" s="30">
        <f t="shared" si="62"/>
        <v>2.4787521766634129E-3</v>
      </c>
      <c r="X42" s="30">
        <f t="shared" si="62"/>
        <v>2.4787521766663585E-3</v>
      </c>
      <c r="Y42" s="30" t="e">
        <f t="shared" si="62"/>
        <v>#DIV/0!</v>
      </c>
      <c r="Z42" s="30" t="e">
        <f t="shared" si="62"/>
        <v>#DIV/0!</v>
      </c>
      <c r="AA42" s="30">
        <f t="shared" si="62"/>
        <v>7.5169066296374099E-2</v>
      </c>
      <c r="AB42" s="30">
        <f t="shared" si="62"/>
        <v>2.4787521766663585E-3</v>
      </c>
      <c r="AC42" s="30">
        <f t="shared" si="62"/>
        <v>2.4787521766663585E-3</v>
      </c>
      <c r="AD42" s="30" t="e">
        <f t="shared" si="62"/>
        <v>#DIV/0!</v>
      </c>
      <c r="AE42" s="30" t="e">
        <f t="shared" si="62"/>
        <v>#DIV/0!</v>
      </c>
      <c r="AF42" s="30">
        <f t="shared" si="62"/>
        <v>7.3129936266602871E-2</v>
      </c>
      <c r="AG42" s="30">
        <f t="shared" si="62"/>
        <v>2.4787521766663585E-3</v>
      </c>
      <c r="AH42" s="30">
        <f t="shared" si="62"/>
        <v>2.4787521766663585E-3</v>
      </c>
      <c r="AI42" s="30" t="e">
        <f t="shared" si="62"/>
        <v>#DIV/0!</v>
      </c>
      <c r="AJ42" s="30" t="e">
        <f t="shared" si="62"/>
        <v>#DIV/0!</v>
      </c>
      <c r="AK42" s="30">
        <f t="shared" si="62"/>
        <v>7.2117005990297911E-2</v>
      </c>
      <c r="AL42" s="30">
        <f t="shared" si="62"/>
        <v>2.4787521766663542E-3</v>
      </c>
      <c r="AM42" s="30">
        <f t="shared" si="62"/>
        <v>2.4787521766663585E-3</v>
      </c>
      <c r="AN42" s="30" t="e">
        <f t="shared" si="62"/>
        <v>#DIV/0!</v>
      </c>
      <c r="AO42" s="30" t="e">
        <f t="shared" si="62"/>
        <v>#DIV/0!</v>
      </c>
      <c r="AP42" s="30">
        <f t="shared" si="62"/>
        <v>0.15905312536900496</v>
      </c>
      <c r="AQ42" s="30">
        <f t="shared" si="62"/>
        <v>2.4787521766301778E-3</v>
      </c>
      <c r="AR42" s="30">
        <f t="shared" si="62"/>
        <v>2.4787521766663585E-3</v>
      </c>
      <c r="AS42" s="30" t="e">
        <f t="shared" si="62"/>
        <v>#DIV/0!</v>
      </c>
      <c r="AT42" s="30" t="e">
        <f t="shared" si="62"/>
        <v>#DIV/0!</v>
      </c>
      <c r="AU42" s="30">
        <f t="shared" si="62"/>
        <v>8.2572991042699814E-2</v>
      </c>
      <c r="AV42" s="30">
        <f t="shared" si="62"/>
        <v>2.478752176666257E-3</v>
      </c>
      <c r="AW42" s="30">
        <f t="shared" si="62"/>
        <v>2.4787521766663585E-3</v>
      </c>
      <c r="AX42" s="30" t="e">
        <f t="shared" si="62"/>
        <v>#DIV/0!</v>
      </c>
      <c r="AY42" s="30" t="e">
        <f t="shared" si="62"/>
        <v>#DIV/0!</v>
      </c>
      <c r="AZ42" s="30">
        <f t="shared" si="62"/>
        <v>7.4292804436225393E-2</v>
      </c>
      <c r="BA42" s="31"/>
      <c r="BB42" s="31"/>
      <c r="BC42" s="31"/>
      <c r="BD42" s="31"/>
    </row>
    <row r="43" spans="1:56" ht="12.75" customHeight="1" x14ac:dyDescent="0.2">
      <c r="A43" s="25" t="s">
        <v>81</v>
      </c>
      <c r="B43" s="22" t="str">
        <f t="shared" ref="B43:AZ43" si="63">IF(B42&gt;0.05,"normal","not normal")</f>
        <v>normal</v>
      </c>
      <c r="C43" s="22" t="str">
        <f t="shared" si="63"/>
        <v>not normal</v>
      </c>
      <c r="D43" s="22" t="str">
        <f t="shared" si="63"/>
        <v>not normal</v>
      </c>
      <c r="E43" s="22" t="e">
        <f t="shared" si="63"/>
        <v>#DIV/0!</v>
      </c>
      <c r="F43" s="22" t="e">
        <f t="shared" si="63"/>
        <v>#DIV/0!</v>
      </c>
      <c r="G43" s="22" t="str">
        <f t="shared" si="63"/>
        <v>normal</v>
      </c>
      <c r="H43" s="22" t="str">
        <f t="shared" si="63"/>
        <v>not normal</v>
      </c>
      <c r="I43" s="22" t="str">
        <f t="shared" si="63"/>
        <v>not normal</v>
      </c>
      <c r="J43" s="22" t="e">
        <f t="shared" si="63"/>
        <v>#DIV/0!</v>
      </c>
      <c r="K43" s="22" t="e">
        <f t="shared" si="63"/>
        <v>#DIV/0!</v>
      </c>
      <c r="L43" s="22" t="str">
        <f t="shared" si="63"/>
        <v>normal</v>
      </c>
      <c r="M43" s="22" t="str">
        <f t="shared" si="63"/>
        <v>not normal</v>
      </c>
      <c r="N43" s="22" t="str">
        <f t="shared" si="63"/>
        <v>not normal</v>
      </c>
      <c r="O43" s="22" t="e">
        <f t="shared" si="63"/>
        <v>#DIV/0!</v>
      </c>
      <c r="P43" s="22" t="e">
        <f t="shared" si="63"/>
        <v>#DIV/0!</v>
      </c>
      <c r="Q43" s="22" t="str">
        <f t="shared" si="63"/>
        <v>normal</v>
      </c>
      <c r="R43" s="22" t="str">
        <f t="shared" si="63"/>
        <v>not normal</v>
      </c>
      <c r="S43" s="22" t="str">
        <f t="shared" si="63"/>
        <v>not normal</v>
      </c>
      <c r="T43" s="22" t="e">
        <f t="shared" si="63"/>
        <v>#DIV/0!</v>
      </c>
      <c r="U43" s="22" t="e">
        <f t="shared" si="63"/>
        <v>#DIV/0!</v>
      </c>
      <c r="V43" s="22" t="str">
        <f t="shared" si="63"/>
        <v>normal</v>
      </c>
      <c r="W43" s="22" t="str">
        <f t="shared" si="63"/>
        <v>not normal</v>
      </c>
      <c r="X43" s="22" t="str">
        <f t="shared" si="63"/>
        <v>not normal</v>
      </c>
      <c r="Y43" s="22" t="e">
        <f t="shared" si="63"/>
        <v>#DIV/0!</v>
      </c>
      <c r="Z43" s="22" t="e">
        <f t="shared" si="63"/>
        <v>#DIV/0!</v>
      </c>
      <c r="AA43" s="22" t="str">
        <f t="shared" si="63"/>
        <v>normal</v>
      </c>
      <c r="AB43" s="22" t="str">
        <f t="shared" si="63"/>
        <v>not normal</v>
      </c>
      <c r="AC43" s="22" t="str">
        <f t="shared" si="63"/>
        <v>not normal</v>
      </c>
      <c r="AD43" s="22" t="e">
        <f t="shared" si="63"/>
        <v>#DIV/0!</v>
      </c>
      <c r="AE43" s="22" t="e">
        <f t="shared" si="63"/>
        <v>#DIV/0!</v>
      </c>
      <c r="AF43" s="22" t="str">
        <f t="shared" si="63"/>
        <v>normal</v>
      </c>
      <c r="AG43" s="22" t="str">
        <f t="shared" si="63"/>
        <v>not normal</v>
      </c>
      <c r="AH43" s="22" t="str">
        <f t="shared" si="63"/>
        <v>not normal</v>
      </c>
      <c r="AI43" s="22" t="e">
        <f t="shared" si="63"/>
        <v>#DIV/0!</v>
      </c>
      <c r="AJ43" s="22" t="e">
        <f t="shared" si="63"/>
        <v>#DIV/0!</v>
      </c>
      <c r="AK43" s="22" t="str">
        <f t="shared" si="63"/>
        <v>normal</v>
      </c>
      <c r="AL43" s="22" t="str">
        <f t="shared" si="63"/>
        <v>not normal</v>
      </c>
      <c r="AM43" s="22" t="str">
        <f t="shared" si="63"/>
        <v>not normal</v>
      </c>
      <c r="AN43" s="22" t="e">
        <f t="shared" si="63"/>
        <v>#DIV/0!</v>
      </c>
      <c r="AO43" s="22" t="e">
        <f t="shared" si="63"/>
        <v>#DIV/0!</v>
      </c>
      <c r="AP43" s="22" t="str">
        <f t="shared" si="63"/>
        <v>normal</v>
      </c>
      <c r="AQ43" s="22" t="str">
        <f t="shared" si="63"/>
        <v>not normal</v>
      </c>
      <c r="AR43" s="22" t="str">
        <f t="shared" si="63"/>
        <v>not normal</v>
      </c>
      <c r="AS43" s="22" t="e">
        <f t="shared" si="63"/>
        <v>#DIV/0!</v>
      </c>
      <c r="AT43" s="22" t="e">
        <f t="shared" si="63"/>
        <v>#DIV/0!</v>
      </c>
      <c r="AU43" s="22" t="str">
        <f t="shared" si="63"/>
        <v>normal</v>
      </c>
      <c r="AV43" s="22" t="str">
        <f t="shared" si="63"/>
        <v>not normal</v>
      </c>
      <c r="AW43" s="22" t="str">
        <f t="shared" si="63"/>
        <v>not normal</v>
      </c>
      <c r="AX43" s="22" t="e">
        <f t="shared" si="63"/>
        <v>#DIV/0!</v>
      </c>
      <c r="AY43" s="22" t="e">
        <f t="shared" si="63"/>
        <v>#DIV/0!</v>
      </c>
      <c r="AZ43" s="22" t="str">
        <f t="shared" si="63"/>
        <v>normal</v>
      </c>
      <c r="BA43" s="31"/>
      <c r="BB43" s="31"/>
      <c r="BC43" s="31"/>
      <c r="BD43" s="31"/>
    </row>
    <row r="44" spans="1:56" ht="12.75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</row>
    <row r="45" spans="1:56" ht="12.75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</row>
    <row r="46" spans="1:56" ht="12.75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</row>
    <row r="47" spans="1:56" ht="12.75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</row>
    <row r="48" spans="1:56" ht="12.7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</row>
    <row r="49" spans="1:56" ht="12.7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</row>
    <row r="50" spans="1:56" ht="12.75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</row>
    <row r="51" spans="1:56" ht="12.75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</row>
    <row r="52" spans="1:56" ht="12.75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</row>
    <row r="53" spans="1:56" ht="12.75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</row>
    <row r="54" spans="1:56" ht="12.75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</row>
    <row r="55" spans="1:56" ht="12.75" customHeigh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</row>
    <row r="56" spans="1:56" ht="12.75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</row>
    <row r="57" spans="1:56" ht="12.75" customHeigh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</row>
    <row r="58" spans="1:56" ht="12.75" customHeight="1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</row>
    <row r="59" spans="1:56" ht="12.75" customHeight="1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</row>
    <row r="60" spans="1:56" ht="12.75" customHeight="1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</row>
    <row r="61" spans="1:56" ht="12.75" customHeight="1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</row>
    <row r="62" spans="1:56" ht="12.75" customHeight="1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</row>
    <row r="63" spans="1:56" ht="12.75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</row>
    <row r="64" spans="1:56" ht="12.75" customHeight="1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</row>
    <row r="65" spans="1:56" ht="12.75" customHeight="1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</row>
    <row r="66" spans="1:56" ht="12.75" customHeight="1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</row>
    <row r="67" spans="1:56" ht="12.75" customHeight="1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</row>
    <row r="68" spans="1:56" ht="12.75" customHeigh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</row>
    <row r="69" spans="1:56" ht="12.75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</row>
    <row r="70" spans="1:56" ht="12.7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</row>
    <row r="71" spans="1:56" ht="12.75" customHeight="1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</row>
    <row r="72" spans="1:56" ht="12.75" customHeigh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</row>
    <row r="73" spans="1:56" ht="12.75" customHeight="1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</row>
    <row r="74" spans="1:56" ht="12.75" customHeight="1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</row>
    <row r="75" spans="1:56" ht="12.75" customHeight="1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</row>
    <row r="76" spans="1:56" ht="12.75" customHeight="1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</row>
    <row r="77" spans="1:56" ht="12.75" customHeight="1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</row>
    <row r="78" spans="1:56" ht="12.75" customHeight="1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</row>
    <row r="79" spans="1:56" ht="12.75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</row>
    <row r="80" spans="1:56" ht="12.75" customHeigh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</row>
    <row r="81" spans="1:56" ht="12.75" customHeigh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</row>
    <row r="82" spans="1:56" ht="12.75" customHeigh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</row>
    <row r="83" spans="1:56" ht="12.75" customHeigh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</row>
    <row r="84" spans="1:56" ht="12.75" customHeigh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</row>
    <row r="85" spans="1:56" ht="12.75" customHeigh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</row>
    <row r="86" spans="1:56" ht="12.75" customHeigh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</row>
    <row r="87" spans="1:56" ht="12.75" customHeigh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</row>
    <row r="88" spans="1:56" ht="12.75" customHeigh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</row>
    <row r="89" spans="1:56" ht="12.75" customHeigh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</row>
    <row r="90" spans="1:56" ht="12.75" customHeigh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</row>
    <row r="91" spans="1:56" ht="12.75" customHeigh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</row>
    <row r="92" spans="1:56" ht="12.75" customHeigh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</row>
    <row r="93" spans="1:56" ht="12.75" customHeigh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</row>
    <row r="94" spans="1:56" ht="12.75" customHeigh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</row>
    <row r="95" spans="1:56" ht="12.75" customHeigh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</row>
    <row r="96" spans="1:56" ht="12.75" customHeigh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</row>
    <row r="97" spans="1:56" ht="12.75" customHeigh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</row>
    <row r="98" spans="1:56" ht="12.75" customHeigh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</row>
    <row r="99" spans="1:56" ht="12.75" customHeigh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</row>
    <row r="100" spans="1:56" ht="12.75" customHeigh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</row>
    <row r="101" spans="1:56" ht="12.75" customHeigh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</row>
    <row r="102" spans="1:56" ht="12.75" customHeigh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</row>
    <row r="103" spans="1:56" ht="12.75" customHeigh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</row>
    <row r="104" spans="1:56" ht="12.75" customHeigh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</row>
    <row r="105" spans="1:56" ht="12.75" customHeigh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</row>
    <row r="106" spans="1:56" ht="12.75" customHeigh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</row>
    <row r="107" spans="1:56" ht="12.75" customHeigh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</row>
    <row r="108" spans="1:56" ht="12.75" customHeigh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</row>
    <row r="109" spans="1:56" ht="12.75" customHeigh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</row>
    <row r="110" spans="1:56" ht="12.75" customHeigh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</row>
    <row r="111" spans="1:56" ht="12.75" customHeigh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</row>
    <row r="112" spans="1:56" ht="12.75" customHeigh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</row>
    <row r="113" spans="1:56" ht="12.75" customHeigh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</row>
    <row r="114" spans="1:56" ht="12.75" customHeigh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</row>
    <row r="115" spans="1:56" ht="12.75" customHeigh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</row>
    <row r="116" spans="1:56" ht="12.75" customHeigh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</row>
    <row r="117" spans="1:56" ht="12.75" customHeigh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</row>
    <row r="118" spans="1:56" ht="12.75" customHeigh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</row>
    <row r="119" spans="1:56" ht="12.75" customHeigh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</row>
    <row r="120" spans="1:56" ht="12.75" customHeigh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</row>
    <row r="121" spans="1:56" ht="12.75" customHeigh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</row>
    <row r="122" spans="1:56" ht="12.75" customHeigh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</row>
    <row r="123" spans="1:56" ht="12.75" customHeigh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</row>
    <row r="124" spans="1:56" ht="12.75" customHeigh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</row>
    <row r="125" spans="1:56" ht="12.75" customHeigh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</row>
    <row r="126" spans="1:56" ht="12.75" customHeigh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</row>
    <row r="127" spans="1:56" ht="12.75" customHeigh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</row>
    <row r="128" spans="1:56" ht="12.75" customHeigh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</row>
    <row r="129" spans="1:56" ht="12.75" customHeigh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</row>
    <row r="130" spans="1:56" ht="12.75" customHeigh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</row>
    <row r="131" spans="1:56" ht="12.75" customHeigh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</row>
    <row r="132" spans="1:56" ht="12.75" customHeight="1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</row>
    <row r="133" spans="1:56" ht="12.75" customHeight="1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</row>
    <row r="134" spans="1:56" ht="12.75" customHeight="1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</row>
    <row r="135" spans="1:56" ht="12.75" customHeight="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</row>
    <row r="136" spans="1:56" ht="12.75" customHeight="1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</row>
    <row r="137" spans="1:56" ht="12.75" customHeight="1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</row>
    <row r="138" spans="1:56" ht="12.75" customHeight="1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</row>
    <row r="139" spans="1:56" ht="12.75" customHeight="1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</row>
    <row r="140" spans="1:56" ht="12.75" customHeight="1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</row>
    <row r="141" spans="1:56" ht="12.75" customHeight="1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</row>
    <row r="142" spans="1:56" ht="12.75" customHeight="1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</row>
    <row r="143" spans="1:56" ht="12.75" customHeight="1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</row>
    <row r="144" spans="1:56" ht="12.75" customHeight="1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</row>
    <row r="145" spans="1:56" ht="12.75" customHeight="1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</row>
    <row r="146" spans="1:56" ht="12.75" customHeight="1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</row>
    <row r="147" spans="1:56" ht="12.75" customHeight="1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</row>
    <row r="148" spans="1:56" ht="12.75" customHeight="1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</row>
    <row r="149" spans="1:56" ht="12.75" customHeight="1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</row>
    <row r="150" spans="1:56" ht="12.75" customHeight="1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</row>
    <row r="151" spans="1:56" ht="12.75" customHeight="1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</row>
    <row r="152" spans="1:56" ht="12.75" customHeight="1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</row>
    <row r="153" spans="1:56" ht="12.75" customHeight="1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</row>
    <row r="154" spans="1:56" ht="12.75" customHeight="1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</row>
    <row r="155" spans="1:56" ht="12.75" customHeight="1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</row>
    <row r="156" spans="1:56" ht="12.75" customHeight="1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</row>
    <row r="157" spans="1:56" ht="12.75" customHeight="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</row>
    <row r="158" spans="1:56" ht="12.75" customHeight="1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</row>
    <row r="159" spans="1:56" ht="12.75" customHeigh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</row>
    <row r="160" spans="1:56" ht="12.75" customHeigh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</row>
    <row r="161" spans="1:56" ht="12.75" customHeigh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</row>
    <row r="162" spans="1:56" ht="12.75" customHeigh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</row>
    <row r="163" spans="1:56" ht="12.75" customHeigh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</row>
    <row r="164" spans="1:56" ht="12.75" customHeigh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</row>
    <row r="165" spans="1:56" ht="12.75" customHeigh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</row>
    <row r="166" spans="1:56" ht="12.75" customHeigh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</row>
    <row r="167" spans="1:56" ht="12.75" customHeigh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</row>
    <row r="168" spans="1:56" ht="12.75" customHeigh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</row>
    <row r="169" spans="1:56" ht="12.75" customHeigh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</row>
    <row r="170" spans="1:56" ht="12.75" customHeigh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</row>
    <row r="171" spans="1:56" ht="12.75" customHeigh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</row>
    <row r="172" spans="1:56" ht="12.75" customHeigh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</row>
    <row r="173" spans="1:56" ht="12.75" customHeigh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</row>
    <row r="174" spans="1:56" ht="12.75" customHeigh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</row>
    <row r="175" spans="1:56" ht="12.75" customHeigh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</row>
    <row r="176" spans="1:56" ht="12.75" customHeigh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</row>
    <row r="177" spans="1:56" ht="12.75" customHeigh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</row>
    <row r="178" spans="1:56" ht="12.75" customHeigh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</row>
    <row r="179" spans="1:56" ht="12.75" customHeigh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</row>
    <row r="180" spans="1:56" ht="12.75" customHeigh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</row>
    <row r="181" spans="1:56" ht="12.75" customHeigh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</row>
    <row r="182" spans="1:56" ht="12.75" customHeigh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</row>
    <row r="183" spans="1:56" ht="12.75" customHeigh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</row>
    <row r="184" spans="1:56" ht="12.75" customHeight="1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</row>
    <row r="185" spans="1:56" ht="12.75" customHeight="1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</row>
    <row r="186" spans="1:56" ht="12.75" customHeight="1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</row>
    <row r="187" spans="1:56" ht="12.75" customHeigh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</row>
    <row r="188" spans="1:56" ht="12.75" customHeight="1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</row>
    <row r="189" spans="1:56" ht="12.75" customHeight="1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</row>
    <row r="190" spans="1:56" ht="12.75" customHeight="1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</row>
    <row r="191" spans="1:56" ht="12.75" customHeight="1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</row>
    <row r="192" spans="1:56" ht="12.75" customHeight="1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</row>
    <row r="193" spans="1:56" ht="12.75" customHeight="1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</row>
    <row r="194" spans="1:56" ht="12.75" customHeight="1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</row>
    <row r="195" spans="1:56" ht="12.75" customHeight="1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</row>
    <row r="196" spans="1:56" ht="12.75" customHeight="1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</row>
    <row r="197" spans="1:56" ht="12.75" customHeight="1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</row>
    <row r="198" spans="1:56" ht="12.75" customHeight="1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</row>
    <row r="199" spans="1:56" ht="12.75" customHeight="1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</row>
    <row r="200" spans="1:56" ht="12.75" customHeight="1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</row>
    <row r="201" spans="1:56" ht="12.75" customHeight="1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</row>
    <row r="202" spans="1:56" ht="12.75" customHeight="1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</row>
    <row r="203" spans="1:56" ht="12.75" customHeight="1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</row>
    <row r="204" spans="1:56" ht="12.75" customHeight="1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</row>
    <row r="205" spans="1:56" ht="12.75" customHeight="1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</row>
    <row r="206" spans="1:56" ht="12.75" customHeight="1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</row>
    <row r="207" spans="1:56" ht="12.75" customHeight="1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</row>
    <row r="208" spans="1:56" ht="12.75" customHeight="1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</row>
    <row r="209" spans="1:56" ht="12.75" customHeight="1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</row>
    <row r="210" spans="1:56" ht="12.75" customHeight="1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</row>
    <row r="211" spans="1:56" ht="12.75" customHeight="1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</row>
    <row r="212" spans="1:56" ht="12.75" customHeight="1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</row>
    <row r="213" spans="1:56" ht="12.75" customHeight="1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</row>
    <row r="214" spans="1:56" ht="12.75" customHeight="1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</row>
    <row r="215" spans="1:56" ht="12.75" customHeight="1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</row>
    <row r="216" spans="1:56" ht="12.75" customHeight="1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</row>
    <row r="217" spans="1:56" ht="12.75" customHeight="1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</row>
    <row r="218" spans="1:56" ht="12.75" customHeight="1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</row>
    <row r="219" spans="1:56" ht="12.75" customHeight="1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</row>
    <row r="220" spans="1:56" ht="12.75" customHeight="1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</row>
    <row r="221" spans="1:56" ht="12.75" customHeight="1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</row>
    <row r="222" spans="1:56" ht="12.75" customHeight="1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</row>
    <row r="223" spans="1:56" ht="12.75" customHeight="1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</row>
    <row r="224" spans="1:56" ht="12.75" customHeight="1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</row>
    <row r="225" spans="1:56" ht="12.75" customHeight="1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</row>
    <row r="226" spans="1:56" ht="12.75" customHeight="1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</row>
    <row r="227" spans="1:56" ht="12.75" customHeight="1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</row>
    <row r="228" spans="1:56" ht="12.75" customHeight="1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</row>
    <row r="229" spans="1:56" ht="12.75" customHeight="1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</row>
    <row r="230" spans="1:56" ht="12.75" customHeight="1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</row>
    <row r="231" spans="1:56" ht="12.75" customHeight="1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</row>
    <row r="232" spans="1:56" ht="12.75" customHeight="1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</row>
    <row r="233" spans="1:56" ht="12.75" customHeight="1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</row>
    <row r="234" spans="1:56" ht="12.75" customHeight="1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</row>
    <row r="235" spans="1:56" ht="12.75" customHeight="1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</row>
    <row r="236" spans="1:56" ht="12.75" customHeight="1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</row>
    <row r="237" spans="1:56" ht="12.75" customHeight="1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</row>
    <row r="238" spans="1:56" ht="12.75" customHeight="1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</row>
    <row r="239" spans="1:56" ht="12.75" customHeight="1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</row>
    <row r="240" spans="1:56" ht="12.75" customHeight="1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</row>
    <row r="241" spans="1:56" ht="12.75" customHeight="1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</row>
    <row r="242" spans="1:56" ht="12.75" customHeight="1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</row>
    <row r="243" spans="1:56" ht="12.75" customHeight="1" x14ac:dyDescent="0.2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</row>
    <row r="244" spans="1:56" ht="12.75" customHeight="1" x14ac:dyDescent="0.2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</row>
    <row r="245" spans="1:56" ht="12.75" customHeight="1" x14ac:dyDescent="0.2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</row>
    <row r="246" spans="1:56" ht="12.75" customHeight="1" x14ac:dyDescent="0.2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</row>
    <row r="247" spans="1:56" ht="12.75" customHeight="1" x14ac:dyDescent="0.2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</row>
    <row r="248" spans="1:56" ht="12.75" customHeight="1" x14ac:dyDescent="0.2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</row>
    <row r="249" spans="1:56" ht="12.75" customHeight="1" x14ac:dyDescent="0.2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</row>
    <row r="250" spans="1:56" ht="12.75" customHeight="1" x14ac:dyDescent="0.2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</row>
    <row r="251" spans="1:56" ht="12.75" customHeight="1" x14ac:dyDescent="0.2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</row>
    <row r="252" spans="1:56" ht="12.75" customHeight="1" x14ac:dyDescent="0.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</row>
    <row r="253" spans="1:56" ht="12.75" customHeight="1" x14ac:dyDescent="0.2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</row>
    <row r="254" spans="1:56" ht="12.75" customHeight="1" x14ac:dyDescent="0.2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</row>
    <row r="255" spans="1:56" ht="12.75" customHeight="1" x14ac:dyDescent="0.2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</row>
    <row r="256" spans="1:56" ht="12.75" customHeight="1" x14ac:dyDescent="0.2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</row>
    <row r="257" spans="1:56" ht="12.75" customHeight="1" x14ac:dyDescent="0.2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</row>
    <row r="258" spans="1:56" ht="12.75" customHeight="1" x14ac:dyDescent="0.2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</row>
    <row r="259" spans="1:56" ht="12.75" customHeight="1" x14ac:dyDescent="0.2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</row>
    <row r="260" spans="1:56" ht="12.75" customHeight="1" x14ac:dyDescent="0.2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</row>
    <row r="261" spans="1:56" ht="12.75" customHeight="1" x14ac:dyDescent="0.2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</row>
    <row r="262" spans="1:56" ht="12.75" customHeight="1" x14ac:dyDescent="0.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</row>
    <row r="263" spans="1:56" ht="12.75" customHeight="1" x14ac:dyDescent="0.2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</row>
    <row r="264" spans="1:56" ht="12.75" customHeight="1" x14ac:dyDescent="0.2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</row>
    <row r="265" spans="1:56" ht="12.75" customHeight="1" x14ac:dyDescent="0.2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</row>
    <row r="266" spans="1:56" ht="12.75" customHeight="1" x14ac:dyDescent="0.2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</row>
    <row r="267" spans="1:56" ht="12.75" customHeight="1" x14ac:dyDescent="0.2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</row>
    <row r="268" spans="1:56" ht="12.75" customHeight="1" x14ac:dyDescent="0.2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</row>
    <row r="269" spans="1:56" ht="12.75" customHeight="1" x14ac:dyDescent="0.2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</row>
    <row r="270" spans="1:56" ht="12.75" customHeight="1" x14ac:dyDescent="0.2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</row>
    <row r="271" spans="1:56" ht="12.75" customHeight="1" x14ac:dyDescent="0.2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</row>
    <row r="272" spans="1:56" ht="12.75" customHeight="1" x14ac:dyDescent="0.2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</row>
    <row r="273" spans="1:56" ht="12.75" customHeight="1" x14ac:dyDescent="0.2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</row>
    <row r="274" spans="1:56" ht="12.75" customHeight="1" x14ac:dyDescent="0.2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</row>
    <row r="275" spans="1:56" ht="12.75" customHeight="1" x14ac:dyDescent="0.2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</row>
    <row r="276" spans="1:56" ht="12.75" customHeight="1" x14ac:dyDescent="0.2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</row>
    <row r="277" spans="1:56" ht="12.75" customHeight="1" x14ac:dyDescent="0.2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</row>
    <row r="278" spans="1:56" ht="12.75" customHeight="1" x14ac:dyDescent="0.2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</row>
    <row r="279" spans="1:56" ht="12.75" customHeight="1" x14ac:dyDescent="0.2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</row>
    <row r="280" spans="1:56" ht="12.75" customHeight="1" x14ac:dyDescent="0.2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</row>
    <row r="281" spans="1:56" ht="12.75" customHeight="1" x14ac:dyDescent="0.2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</row>
    <row r="282" spans="1:56" ht="12.75" customHeight="1" x14ac:dyDescent="0.2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</row>
    <row r="283" spans="1:56" ht="12.75" customHeight="1" x14ac:dyDescent="0.2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</row>
    <row r="284" spans="1:56" ht="12.75" customHeight="1" x14ac:dyDescent="0.2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</row>
    <row r="285" spans="1:56" ht="12.75" customHeight="1" x14ac:dyDescent="0.2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</row>
    <row r="286" spans="1:56" ht="12.75" customHeight="1" x14ac:dyDescent="0.2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</row>
    <row r="287" spans="1:56" ht="12.75" customHeight="1" x14ac:dyDescent="0.2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</row>
    <row r="288" spans="1:56" ht="12.75" customHeight="1" x14ac:dyDescent="0.2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</row>
    <row r="289" spans="1:56" ht="12.75" customHeight="1" x14ac:dyDescent="0.2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</row>
    <row r="290" spans="1:56" ht="12.75" customHeight="1" x14ac:dyDescent="0.2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</row>
    <row r="291" spans="1:56" ht="12.75" customHeight="1" x14ac:dyDescent="0.2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</row>
    <row r="292" spans="1:56" ht="12.75" customHeight="1" x14ac:dyDescent="0.2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</row>
    <row r="293" spans="1:56" ht="12.75" customHeight="1" x14ac:dyDescent="0.2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</row>
    <row r="294" spans="1:56" ht="12.75" customHeight="1" x14ac:dyDescent="0.2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</row>
    <row r="295" spans="1:56" ht="12.75" customHeight="1" x14ac:dyDescent="0.2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</row>
    <row r="296" spans="1:56" ht="12.75" customHeight="1" x14ac:dyDescent="0.2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</row>
    <row r="297" spans="1:56" ht="12.75" customHeight="1" x14ac:dyDescent="0.2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</row>
    <row r="298" spans="1:56" ht="12.75" customHeight="1" x14ac:dyDescent="0.2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</row>
    <row r="299" spans="1:56" ht="12.75" customHeight="1" x14ac:dyDescent="0.2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</row>
    <row r="300" spans="1:56" ht="12.75" customHeight="1" x14ac:dyDescent="0.2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</row>
    <row r="301" spans="1:56" ht="12.75" customHeight="1" x14ac:dyDescent="0.2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</row>
    <row r="302" spans="1:56" ht="12.75" customHeight="1" x14ac:dyDescent="0.2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</row>
    <row r="303" spans="1:56" ht="12.75" customHeight="1" x14ac:dyDescent="0.2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</row>
    <row r="304" spans="1:56" ht="12.75" customHeight="1" x14ac:dyDescent="0.2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</row>
    <row r="305" spans="1:56" ht="12.75" customHeight="1" x14ac:dyDescent="0.2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</row>
    <row r="306" spans="1:56" ht="12.75" customHeight="1" x14ac:dyDescent="0.2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</row>
    <row r="307" spans="1:56" ht="12.75" customHeight="1" x14ac:dyDescent="0.2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</row>
    <row r="308" spans="1:56" ht="12.75" customHeight="1" x14ac:dyDescent="0.2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</row>
    <row r="309" spans="1:56" ht="12.75" customHeight="1" x14ac:dyDescent="0.2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</row>
    <row r="310" spans="1:56" ht="12.75" customHeight="1" x14ac:dyDescent="0.2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</row>
    <row r="311" spans="1:56" ht="12.75" customHeight="1" x14ac:dyDescent="0.2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</row>
    <row r="312" spans="1:56" ht="12.75" customHeight="1" x14ac:dyDescent="0.2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</row>
    <row r="313" spans="1:56" ht="12.75" customHeight="1" x14ac:dyDescent="0.2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</row>
    <row r="314" spans="1:56" ht="12.75" customHeight="1" x14ac:dyDescent="0.2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</row>
    <row r="315" spans="1:56" ht="12.75" customHeight="1" x14ac:dyDescent="0.2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</row>
    <row r="316" spans="1:56" ht="12.75" customHeight="1" x14ac:dyDescent="0.2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</row>
    <row r="317" spans="1:56" ht="12.75" customHeight="1" x14ac:dyDescent="0.2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</row>
    <row r="318" spans="1:56" ht="12.75" customHeight="1" x14ac:dyDescent="0.2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</row>
    <row r="319" spans="1:56" ht="12.75" customHeight="1" x14ac:dyDescent="0.2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</row>
    <row r="320" spans="1:56" ht="12.75" customHeight="1" x14ac:dyDescent="0.2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</row>
    <row r="321" spans="1:56" ht="12.75" customHeight="1" x14ac:dyDescent="0.2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</row>
    <row r="322" spans="1:56" ht="12.75" customHeight="1" x14ac:dyDescent="0.2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</row>
    <row r="323" spans="1:56" ht="12.75" customHeight="1" x14ac:dyDescent="0.2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</row>
    <row r="324" spans="1:56" ht="12.75" customHeight="1" x14ac:dyDescent="0.2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</row>
    <row r="325" spans="1:56" ht="12.75" customHeight="1" x14ac:dyDescent="0.2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</row>
    <row r="326" spans="1:56" ht="12.75" customHeight="1" x14ac:dyDescent="0.2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</row>
    <row r="327" spans="1:56" ht="12.75" customHeight="1" x14ac:dyDescent="0.2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</row>
    <row r="328" spans="1:56" ht="12.75" customHeight="1" x14ac:dyDescent="0.2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</row>
    <row r="329" spans="1:56" ht="12.75" customHeight="1" x14ac:dyDescent="0.2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</row>
    <row r="330" spans="1:56" ht="12.75" customHeight="1" x14ac:dyDescent="0.2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</row>
    <row r="331" spans="1:56" ht="12.75" customHeight="1" x14ac:dyDescent="0.2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</row>
    <row r="332" spans="1:56" ht="12.75" customHeight="1" x14ac:dyDescent="0.2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</row>
    <row r="333" spans="1:56" ht="12.75" customHeight="1" x14ac:dyDescent="0.2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</row>
    <row r="334" spans="1:56" ht="12.75" customHeight="1" x14ac:dyDescent="0.2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</row>
    <row r="335" spans="1:56" ht="12.75" customHeight="1" x14ac:dyDescent="0.2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</row>
    <row r="336" spans="1:56" ht="12.75" customHeight="1" x14ac:dyDescent="0.2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</row>
    <row r="337" spans="1:56" ht="12.75" customHeight="1" x14ac:dyDescent="0.2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</row>
    <row r="338" spans="1:56" ht="12.75" customHeight="1" x14ac:dyDescent="0.2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</row>
    <row r="339" spans="1:56" ht="12.75" customHeight="1" x14ac:dyDescent="0.2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</row>
    <row r="340" spans="1:56" ht="12.75" customHeight="1" x14ac:dyDescent="0.2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</row>
    <row r="341" spans="1:56" ht="12.75" customHeight="1" x14ac:dyDescent="0.2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</row>
    <row r="342" spans="1:56" ht="12.75" customHeight="1" x14ac:dyDescent="0.2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</row>
    <row r="343" spans="1:56" ht="12.75" customHeight="1" x14ac:dyDescent="0.2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</row>
    <row r="344" spans="1:56" ht="12.75" customHeight="1" x14ac:dyDescent="0.2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</row>
    <row r="345" spans="1:56" ht="12.75" customHeight="1" x14ac:dyDescent="0.2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</row>
    <row r="346" spans="1:56" ht="12.75" customHeight="1" x14ac:dyDescent="0.2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</row>
    <row r="347" spans="1:56" ht="12.75" customHeight="1" x14ac:dyDescent="0.2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</row>
    <row r="348" spans="1:56" ht="12.75" customHeight="1" x14ac:dyDescent="0.2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</row>
    <row r="349" spans="1:56" ht="12.75" customHeight="1" x14ac:dyDescent="0.2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</row>
    <row r="350" spans="1:56" ht="12.75" customHeight="1" x14ac:dyDescent="0.2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</row>
    <row r="351" spans="1:56" ht="12.75" customHeight="1" x14ac:dyDescent="0.2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</row>
    <row r="352" spans="1:56" ht="12.75" customHeight="1" x14ac:dyDescent="0.2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</row>
    <row r="353" spans="1:56" ht="12.75" customHeight="1" x14ac:dyDescent="0.2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</row>
    <row r="354" spans="1:56" ht="12.75" customHeight="1" x14ac:dyDescent="0.2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</row>
    <row r="355" spans="1:56" ht="12.75" customHeight="1" x14ac:dyDescent="0.2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</row>
    <row r="356" spans="1:56" ht="12.75" customHeight="1" x14ac:dyDescent="0.2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</row>
    <row r="357" spans="1:56" ht="12.75" customHeight="1" x14ac:dyDescent="0.2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</row>
    <row r="358" spans="1:56" ht="12.75" customHeight="1" x14ac:dyDescent="0.2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</row>
    <row r="359" spans="1:56" ht="12.75" customHeight="1" x14ac:dyDescent="0.2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</row>
    <row r="360" spans="1:56" ht="12.75" customHeight="1" x14ac:dyDescent="0.2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</row>
    <row r="361" spans="1:56" ht="12.75" customHeight="1" x14ac:dyDescent="0.2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</row>
    <row r="362" spans="1:56" ht="12.75" customHeight="1" x14ac:dyDescent="0.2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</row>
    <row r="363" spans="1:56" ht="12.75" customHeight="1" x14ac:dyDescent="0.2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</row>
    <row r="364" spans="1:56" ht="12.75" customHeight="1" x14ac:dyDescent="0.2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</row>
    <row r="365" spans="1:56" ht="12.75" customHeight="1" x14ac:dyDescent="0.2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</row>
    <row r="366" spans="1:56" ht="12.75" customHeight="1" x14ac:dyDescent="0.2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</row>
    <row r="367" spans="1:56" ht="12.75" customHeight="1" x14ac:dyDescent="0.2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</row>
    <row r="368" spans="1:56" ht="12.75" customHeight="1" x14ac:dyDescent="0.2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</row>
    <row r="369" spans="1:56" ht="12.75" customHeight="1" x14ac:dyDescent="0.2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</row>
    <row r="370" spans="1:56" ht="12.75" customHeight="1" x14ac:dyDescent="0.2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</row>
    <row r="371" spans="1:56" ht="12.75" customHeight="1" x14ac:dyDescent="0.2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</row>
    <row r="372" spans="1:56" ht="12.75" customHeight="1" x14ac:dyDescent="0.2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</row>
    <row r="373" spans="1:56" ht="12.75" customHeight="1" x14ac:dyDescent="0.2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</row>
    <row r="374" spans="1:56" ht="12.75" customHeight="1" x14ac:dyDescent="0.2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</row>
    <row r="375" spans="1:56" ht="12.75" customHeight="1" x14ac:dyDescent="0.2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</row>
    <row r="376" spans="1:56" ht="12.75" customHeight="1" x14ac:dyDescent="0.2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</row>
    <row r="377" spans="1:56" ht="12.75" customHeight="1" x14ac:dyDescent="0.2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</row>
    <row r="378" spans="1:56" ht="12.75" customHeight="1" x14ac:dyDescent="0.2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</row>
    <row r="379" spans="1:56" ht="12.75" customHeight="1" x14ac:dyDescent="0.2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</row>
    <row r="380" spans="1:56" ht="12.75" customHeight="1" x14ac:dyDescent="0.2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</row>
    <row r="381" spans="1:56" ht="12.75" customHeight="1" x14ac:dyDescent="0.2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</row>
    <row r="382" spans="1:56" ht="12.75" customHeight="1" x14ac:dyDescent="0.2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</row>
    <row r="383" spans="1:56" ht="12.75" customHeight="1" x14ac:dyDescent="0.2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</row>
    <row r="384" spans="1:56" ht="12.75" customHeight="1" x14ac:dyDescent="0.2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</row>
    <row r="385" spans="1:56" ht="12.75" customHeight="1" x14ac:dyDescent="0.2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</row>
    <row r="386" spans="1:56" ht="12.75" customHeight="1" x14ac:dyDescent="0.2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</row>
    <row r="387" spans="1:56" ht="12.75" customHeight="1" x14ac:dyDescent="0.2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</row>
    <row r="388" spans="1:56" ht="12.75" customHeight="1" x14ac:dyDescent="0.2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</row>
    <row r="389" spans="1:56" ht="12.75" customHeight="1" x14ac:dyDescent="0.2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</row>
    <row r="390" spans="1:56" ht="12.75" customHeight="1" x14ac:dyDescent="0.2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</row>
    <row r="391" spans="1:56" ht="12.75" customHeight="1" x14ac:dyDescent="0.2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</row>
    <row r="392" spans="1:56" ht="12.75" customHeight="1" x14ac:dyDescent="0.2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</row>
    <row r="393" spans="1:56" ht="12.75" customHeight="1" x14ac:dyDescent="0.2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</row>
    <row r="394" spans="1:56" ht="12.75" customHeight="1" x14ac:dyDescent="0.2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</row>
    <row r="395" spans="1:56" ht="12.75" customHeight="1" x14ac:dyDescent="0.2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</row>
    <row r="396" spans="1:56" ht="12.75" customHeight="1" x14ac:dyDescent="0.2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</row>
    <row r="397" spans="1:56" ht="12.75" customHeight="1" x14ac:dyDescent="0.2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</row>
    <row r="398" spans="1:56" ht="12.75" customHeight="1" x14ac:dyDescent="0.2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</row>
    <row r="399" spans="1:56" ht="12.75" customHeight="1" x14ac:dyDescent="0.2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</row>
    <row r="400" spans="1:56" ht="12.75" customHeight="1" x14ac:dyDescent="0.2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</row>
    <row r="401" spans="1:56" ht="12.75" customHeight="1" x14ac:dyDescent="0.2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</row>
    <row r="402" spans="1:56" ht="12.75" customHeight="1" x14ac:dyDescent="0.2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</row>
    <row r="403" spans="1:56" ht="12.75" customHeight="1" x14ac:dyDescent="0.2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</row>
    <row r="404" spans="1:56" ht="12.75" customHeight="1" x14ac:dyDescent="0.2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</row>
    <row r="405" spans="1:56" ht="12.75" customHeight="1" x14ac:dyDescent="0.2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</row>
    <row r="406" spans="1:56" ht="12.75" customHeight="1" x14ac:dyDescent="0.2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</row>
    <row r="407" spans="1:56" ht="12.75" customHeight="1" x14ac:dyDescent="0.2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</row>
    <row r="408" spans="1:56" ht="12.75" customHeight="1" x14ac:dyDescent="0.2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</row>
    <row r="409" spans="1:56" ht="12.75" customHeight="1" x14ac:dyDescent="0.2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</row>
    <row r="410" spans="1:56" ht="12.75" customHeight="1" x14ac:dyDescent="0.2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</row>
    <row r="411" spans="1:56" ht="12.75" customHeight="1" x14ac:dyDescent="0.2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</row>
    <row r="412" spans="1:56" ht="12.75" customHeight="1" x14ac:dyDescent="0.2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</row>
    <row r="413" spans="1:56" ht="12.75" customHeight="1" x14ac:dyDescent="0.2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</row>
    <row r="414" spans="1:56" ht="12.75" customHeight="1" x14ac:dyDescent="0.2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</row>
    <row r="415" spans="1:56" ht="12.75" customHeight="1" x14ac:dyDescent="0.2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</row>
    <row r="416" spans="1:56" ht="12.75" customHeight="1" x14ac:dyDescent="0.2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</row>
    <row r="417" spans="1:56" ht="12.75" customHeight="1" x14ac:dyDescent="0.2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</row>
    <row r="418" spans="1:56" ht="12.75" customHeight="1" x14ac:dyDescent="0.2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</row>
    <row r="419" spans="1:56" ht="12.75" customHeight="1" x14ac:dyDescent="0.2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</row>
    <row r="420" spans="1:56" ht="12.75" customHeight="1" x14ac:dyDescent="0.2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</row>
    <row r="421" spans="1:56" ht="12.75" customHeight="1" x14ac:dyDescent="0.2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</row>
    <row r="422" spans="1:56" ht="12.75" customHeight="1" x14ac:dyDescent="0.2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</row>
    <row r="423" spans="1:56" ht="12.75" customHeight="1" x14ac:dyDescent="0.2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</row>
    <row r="424" spans="1:56" ht="12.75" customHeight="1" x14ac:dyDescent="0.2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</row>
    <row r="425" spans="1:56" ht="12.75" customHeight="1" x14ac:dyDescent="0.2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</row>
    <row r="426" spans="1:56" ht="12.75" customHeight="1" x14ac:dyDescent="0.2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</row>
    <row r="427" spans="1:56" ht="12.75" customHeight="1" x14ac:dyDescent="0.2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</row>
    <row r="428" spans="1:56" ht="12.75" customHeight="1" x14ac:dyDescent="0.2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</row>
    <row r="429" spans="1:56" ht="12.75" customHeight="1" x14ac:dyDescent="0.2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</row>
    <row r="430" spans="1:56" ht="12.75" customHeight="1" x14ac:dyDescent="0.2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</row>
    <row r="431" spans="1:56" ht="12.75" customHeight="1" x14ac:dyDescent="0.2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</row>
    <row r="432" spans="1:56" ht="12.75" customHeight="1" x14ac:dyDescent="0.2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</row>
    <row r="433" spans="1:56" ht="12.75" customHeight="1" x14ac:dyDescent="0.2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</row>
    <row r="434" spans="1:56" ht="12.75" customHeight="1" x14ac:dyDescent="0.2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</row>
    <row r="435" spans="1:56" ht="12.75" customHeight="1" x14ac:dyDescent="0.2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</row>
    <row r="436" spans="1:56" ht="12.75" customHeight="1" x14ac:dyDescent="0.2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</row>
    <row r="437" spans="1:56" ht="12.75" customHeight="1" x14ac:dyDescent="0.2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</row>
    <row r="438" spans="1:56" ht="12.75" customHeight="1" x14ac:dyDescent="0.2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</row>
    <row r="439" spans="1:56" ht="12.75" customHeight="1" x14ac:dyDescent="0.2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</row>
    <row r="440" spans="1:56" ht="12.75" customHeight="1" x14ac:dyDescent="0.2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</row>
    <row r="441" spans="1:56" ht="12.75" customHeight="1" x14ac:dyDescent="0.2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</row>
    <row r="442" spans="1:56" ht="12.75" customHeight="1" x14ac:dyDescent="0.2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</row>
    <row r="443" spans="1:56" ht="12.75" customHeight="1" x14ac:dyDescent="0.2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</row>
    <row r="444" spans="1:56" ht="12.75" customHeight="1" x14ac:dyDescent="0.2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</row>
    <row r="445" spans="1:56" ht="12.75" customHeight="1" x14ac:dyDescent="0.2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</row>
    <row r="446" spans="1:56" ht="12.75" customHeight="1" x14ac:dyDescent="0.2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</row>
    <row r="447" spans="1:56" ht="12.75" customHeight="1" x14ac:dyDescent="0.2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</row>
    <row r="448" spans="1:56" ht="12.75" customHeight="1" x14ac:dyDescent="0.2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</row>
    <row r="449" spans="1:56" ht="12.75" customHeight="1" x14ac:dyDescent="0.2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</row>
    <row r="450" spans="1:56" ht="12.75" customHeight="1" x14ac:dyDescent="0.2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</row>
    <row r="451" spans="1:56" ht="12.75" customHeight="1" x14ac:dyDescent="0.2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</row>
    <row r="452" spans="1:56" ht="12.75" customHeight="1" x14ac:dyDescent="0.2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</row>
    <row r="453" spans="1:56" ht="12.75" customHeight="1" x14ac:dyDescent="0.2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</row>
    <row r="454" spans="1:56" ht="12.75" customHeight="1" x14ac:dyDescent="0.2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</row>
    <row r="455" spans="1:56" ht="12.75" customHeight="1" x14ac:dyDescent="0.2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</row>
    <row r="456" spans="1:56" ht="12.75" customHeight="1" x14ac:dyDescent="0.2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</row>
    <row r="457" spans="1:56" ht="12.75" customHeight="1" x14ac:dyDescent="0.2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</row>
    <row r="458" spans="1:56" ht="12.75" customHeight="1" x14ac:dyDescent="0.2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</row>
    <row r="459" spans="1:56" ht="12.75" customHeight="1" x14ac:dyDescent="0.2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</row>
    <row r="460" spans="1:56" ht="12.75" customHeight="1" x14ac:dyDescent="0.2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</row>
    <row r="461" spans="1:56" ht="12.75" customHeight="1" x14ac:dyDescent="0.2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</row>
    <row r="462" spans="1:56" ht="12.75" customHeight="1" x14ac:dyDescent="0.2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</row>
    <row r="463" spans="1:56" ht="12.75" customHeight="1" x14ac:dyDescent="0.2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</row>
    <row r="464" spans="1:56" ht="12.75" customHeight="1" x14ac:dyDescent="0.2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</row>
    <row r="465" spans="1:56" ht="12.75" customHeight="1" x14ac:dyDescent="0.2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</row>
    <row r="466" spans="1:56" ht="12.75" customHeight="1" x14ac:dyDescent="0.2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</row>
    <row r="467" spans="1:56" ht="12.75" customHeight="1" x14ac:dyDescent="0.2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</row>
    <row r="468" spans="1:56" ht="12.75" customHeight="1" x14ac:dyDescent="0.2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</row>
    <row r="469" spans="1:56" ht="12.75" customHeight="1" x14ac:dyDescent="0.2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</row>
    <row r="470" spans="1:56" ht="12.75" customHeight="1" x14ac:dyDescent="0.2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</row>
    <row r="471" spans="1:56" ht="12.75" customHeight="1" x14ac:dyDescent="0.2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</row>
    <row r="472" spans="1:56" ht="12.75" customHeight="1" x14ac:dyDescent="0.2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</row>
    <row r="473" spans="1:56" ht="12.75" customHeight="1" x14ac:dyDescent="0.2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</row>
    <row r="474" spans="1:56" ht="12.75" customHeight="1" x14ac:dyDescent="0.2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</row>
    <row r="475" spans="1:56" ht="12.75" customHeight="1" x14ac:dyDescent="0.2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</row>
    <row r="476" spans="1:56" ht="12.75" customHeight="1" x14ac:dyDescent="0.2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</row>
    <row r="477" spans="1:56" ht="12.75" customHeight="1" x14ac:dyDescent="0.2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</row>
    <row r="478" spans="1:56" ht="12.75" customHeight="1" x14ac:dyDescent="0.2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</row>
    <row r="479" spans="1:56" ht="12.75" customHeight="1" x14ac:dyDescent="0.2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</row>
    <row r="480" spans="1:56" ht="12.75" customHeight="1" x14ac:dyDescent="0.2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</row>
    <row r="481" spans="1:56" ht="12.75" customHeight="1" x14ac:dyDescent="0.2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</row>
    <row r="482" spans="1:56" ht="12.75" customHeight="1" x14ac:dyDescent="0.2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</row>
    <row r="483" spans="1:56" ht="12.75" customHeight="1" x14ac:dyDescent="0.2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</row>
    <row r="484" spans="1:56" ht="12.75" customHeight="1" x14ac:dyDescent="0.2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</row>
    <row r="485" spans="1:56" ht="12.75" customHeight="1" x14ac:dyDescent="0.2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</row>
    <row r="486" spans="1:56" ht="12.75" customHeight="1" x14ac:dyDescent="0.2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</row>
    <row r="487" spans="1:56" ht="12.75" customHeight="1" x14ac:dyDescent="0.2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</row>
    <row r="488" spans="1:56" ht="12.75" customHeight="1" x14ac:dyDescent="0.2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</row>
    <row r="489" spans="1:56" ht="12.75" customHeight="1" x14ac:dyDescent="0.2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</row>
    <row r="490" spans="1:56" ht="12.75" customHeight="1" x14ac:dyDescent="0.2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</row>
    <row r="491" spans="1:56" ht="12.75" customHeight="1" x14ac:dyDescent="0.2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</row>
    <row r="492" spans="1:56" ht="12.75" customHeight="1" x14ac:dyDescent="0.2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</row>
    <row r="493" spans="1:56" ht="12.75" customHeight="1" x14ac:dyDescent="0.2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</row>
    <row r="494" spans="1:56" ht="12.75" customHeight="1" x14ac:dyDescent="0.2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</row>
    <row r="495" spans="1:56" ht="12.75" customHeight="1" x14ac:dyDescent="0.2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</row>
    <row r="496" spans="1:56" ht="12.75" customHeight="1" x14ac:dyDescent="0.2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</row>
    <row r="497" spans="1:56" ht="12.75" customHeight="1" x14ac:dyDescent="0.2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</row>
    <row r="498" spans="1:56" ht="12.75" customHeight="1" x14ac:dyDescent="0.2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</row>
    <row r="499" spans="1:56" ht="12.75" customHeight="1" x14ac:dyDescent="0.2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</row>
    <row r="500" spans="1:56" ht="12.75" customHeight="1" x14ac:dyDescent="0.2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</row>
    <row r="501" spans="1:56" ht="12.75" customHeight="1" x14ac:dyDescent="0.2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</row>
    <row r="502" spans="1:56" ht="12.75" customHeight="1" x14ac:dyDescent="0.2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</row>
    <row r="503" spans="1:56" ht="12.75" customHeight="1" x14ac:dyDescent="0.2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</row>
    <row r="504" spans="1:56" ht="12.75" customHeight="1" x14ac:dyDescent="0.2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</row>
    <row r="505" spans="1:56" ht="12.75" customHeight="1" x14ac:dyDescent="0.2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</row>
    <row r="506" spans="1:56" ht="12.75" customHeight="1" x14ac:dyDescent="0.2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</row>
    <row r="507" spans="1:56" ht="12.75" customHeight="1" x14ac:dyDescent="0.2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</row>
    <row r="508" spans="1:56" ht="12.75" customHeight="1" x14ac:dyDescent="0.2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</row>
    <row r="509" spans="1:56" ht="12.75" customHeight="1" x14ac:dyDescent="0.2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</row>
    <row r="510" spans="1:56" ht="12.75" customHeight="1" x14ac:dyDescent="0.2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</row>
    <row r="511" spans="1:56" ht="12.75" customHeight="1" x14ac:dyDescent="0.2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</row>
    <row r="512" spans="1:56" ht="12.75" customHeight="1" x14ac:dyDescent="0.2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</row>
    <row r="513" spans="1:56" ht="12.75" customHeight="1" x14ac:dyDescent="0.2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</row>
    <row r="514" spans="1:56" ht="12.75" customHeight="1" x14ac:dyDescent="0.2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</row>
    <row r="515" spans="1:56" ht="12.75" customHeight="1" x14ac:dyDescent="0.2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</row>
    <row r="516" spans="1:56" ht="12.75" customHeight="1" x14ac:dyDescent="0.2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</row>
    <row r="517" spans="1:56" ht="12.75" customHeight="1" x14ac:dyDescent="0.2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</row>
    <row r="518" spans="1:56" ht="12.75" customHeight="1" x14ac:dyDescent="0.2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</row>
    <row r="519" spans="1:56" ht="12.75" customHeight="1" x14ac:dyDescent="0.2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</row>
    <row r="520" spans="1:56" ht="12.75" customHeight="1" x14ac:dyDescent="0.2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</row>
    <row r="521" spans="1:56" ht="12.75" customHeight="1" x14ac:dyDescent="0.2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</row>
    <row r="522" spans="1:56" ht="12.75" customHeight="1" x14ac:dyDescent="0.2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</row>
    <row r="523" spans="1:56" ht="12.75" customHeight="1" x14ac:dyDescent="0.2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</row>
    <row r="524" spans="1:56" ht="12.75" customHeight="1" x14ac:dyDescent="0.2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</row>
    <row r="525" spans="1:56" ht="12.75" customHeight="1" x14ac:dyDescent="0.2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</row>
    <row r="526" spans="1:56" ht="12.75" customHeight="1" x14ac:dyDescent="0.2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</row>
    <row r="527" spans="1:56" ht="12.75" customHeight="1" x14ac:dyDescent="0.2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</row>
    <row r="528" spans="1:56" ht="12.75" customHeight="1" x14ac:dyDescent="0.2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</row>
    <row r="529" spans="1:56" ht="12.75" customHeight="1" x14ac:dyDescent="0.2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</row>
    <row r="530" spans="1:56" ht="12.75" customHeight="1" x14ac:dyDescent="0.2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</row>
    <row r="531" spans="1:56" ht="12.75" customHeight="1" x14ac:dyDescent="0.2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</row>
    <row r="532" spans="1:56" ht="12.75" customHeight="1" x14ac:dyDescent="0.2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</row>
    <row r="533" spans="1:56" ht="12.75" customHeight="1" x14ac:dyDescent="0.2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</row>
    <row r="534" spans="1:56" ht="12.75" customHeight="1" x14ac:dyDescent="0.2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</row>
    <row r="535" spans="1:56" ht="12.75" customHeight="1" x14ac:dyDescent="0.2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</row>
    <row r="536" spans="1:56" ht="12.75" customHeight="1" x14ac:dyDescent="0.2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</row>
    <row r="537" spans="1:56" ht="12.75" customHeight="1" x14ac:dyDescent="0.2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</row>
    <row r="538" spans="1:56" ht="12.75" customHeight="1" x14ac:dyDescent="0.2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</row>
    <row r="539" spans="1:56" ht="12.75" customHeight="1" x14ac:dyDescent="0.2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</row>
    <row r="540" spans="1:56" ht="12.75" customHeight="1" x14ac:dyDescent="0.2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</row>
    <row r="541" spans="1:56" ht="12.75" customHeight="1" x14ac:dyDescent="0.2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</row>
    <row r="542" spans="1:56" ht="12.75" customHeight="1" x14ac:dyDescent="0.2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</row>
    <row r="543" spans="1:56" ht="12.75" customHeight="1" x14ac:dyDescent="0.2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</row>
    <row r="544" spans="1:56" ht="12.75" customHeight="1" x14ac:dyDescent="0.2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</row>
    <row r="545" spans="1:56" ht="12.75" customHeight="1" x14ac:dyDescent="0.2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</row>
    <row r="546" spans="1:56" ht="12.75" customHeight="1" x14ac:dyDescent="0.2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</row>
    <row r="547" spans="1:56" ht="12.75" customHeight="1" x14ac:dyDescent="0.2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</row>
    <row r="548" spans="1:56" ht="12.75" customHeight="1" x14ac:dyDescent="0.2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</row>
    <row r="549" spans="1:56" ht="12.75" customHeight="1" x14ac:dyDescent="0.2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</row>
    <row r="550" spans="1:56" ht="12.75" customHeight="1" x14ac:dyDescent="0.2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</row>
    <row r="551" spans="1:56" ht="12.75" customHeight="1" x14ac:dyDescent="0.2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</row>
    <row r="552" spans="1:56" ht="12.75" customHeight="1" x14ac:dyDescent="0.2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</row>
    <row r="553" spans="1:56" ht="12.75" customHeight="1" x14ac:dyDescent="0.2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</row>
    <row r="554" spans="1:56" ht="12.75" customHeight="1" x14ac:dyDescent="0.2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</row>
    <row r="555" spans="1:56" ht="12.75" customHeight="1" x14ac:dyDescent="0.2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</row>
    <row r="556" spans="1:56" ht="12.75" customHeight="1" x14ac:dyDescent="0.2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</row>
    <row r="557" spans="1:56" ht="12.75" customHeight="1" x14ac:dyDescent="0.2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</row>
    <row r="558" spans="1:56" ht="12.75" customHeight="1" x14ac:dyDescent="0.2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</row>
    <row r="559" spans="1:56" ht="12.75" customHeight="1" x14ac:dyDescent="0.2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</row>
    <row r="560" spans="1:56" ht="12.75" customHeight="1" x14ac:dyDescent="0.2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</row>
    <row r="561" spans="1:56" ht="12.75" customHeight="1" x14ac:dyDescent="0.2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</row>
    <row r="562" spans="1:56" ht="12.75" customHeight="1" x14ac:dyDescent="0.2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</row>
    <row r="563" spans="1:56" ht="12.75" customHeight="1" x14ac:dyDescent="0.2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</row>
    <row r="564" spans="1:56" ht="12.75" customHeight="1" x14ac:dyDescent="0.2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</row>
    <row r="565" spans="1:56" ht="12.75" customHeight="1" x14ac:dyDescent="0.2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</row>
    <row r="566" spans="1:56" ht="12.75" customHeight="1" x14ac:dyDescent="0.2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</row>
    <row r="567" spans="1:56" ht="12.75" customHeight="1" x14ac:dyDescent="0.2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</row>
    <row r="568" spans="1:56" ht="12.75" customHeight="1" x14ac:dyDescent="0.2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</row>
    <row r="569" spans="1:56" ht="12.75" customHeight="1" x14ac:dyDescent="0.2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</row>
    <row r="570" spans="1:56" ht="12.75" customHeight="1" x14ac:dyDescent="0.2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</row>
    <row r="571" spans="1:56" ht="12.75" customHeight="1" x14ac:dyDescent="0.2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</row>
    <row r="572" spans="1:56" ht="12.75" customHeight="1" x14ac:dyDescent="0.2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</row>
    <row r="573" spans="1:56" ht="12.75" customHeight="1" x14ac:dyDescent="0.2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</row>
    <row r="574" spans="1:56" ht="12.75" customHeight="1" x14ac:dyDescent="0.2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</row>
    <row r="575" spans="1:56" ht="12.75" customHeight="1" x14ac:dyDescent="0.2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</row>
    <row r="576" spans="1:56" ht="12.75" customHeight="1" x14ac:dyDescent="0.2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</row>
    <row r="577" spans="1:56" ht="12.75" customHeight="1" x14ac:dyDescent="0.2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</row>
    <row r="578" spans="1:56" ht="12.75" customHeight="1" x14ac:dyDescent="0.2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</row>
    <row r="579" spans="1:56" ht="12.75" customHeight="1" x14ac:dyDescent="0.2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</row>
    <row r="580" spans="1:56" ht="12.75" customHeight="1" x14ac:dyDescent="0.2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</row>
    <row r="581" spans="1:56" ht="12.75" customHeight="1" x14ac:dyDescent="0.2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</row>
    <row r="582" spans="1:56" ht="12.75" customHeight="1" x14ac:dyDescent="0.2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</row>
    <row r="583" spans="1:56" ht="12.75" customHeight="1" x14ac:dyDescent="0.2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</row>
    <row r="584" spans="1:56" ht="12.75" customHeight="1" x14ac:dyDescent="0.2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</row>
    <row r="585" spans="1:56" ht="12.75" customHeight="1" x14ac:dyDescent="0.2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</row>
    <row r="586" spans="1:56" ht="12.75" customHeight="1" x14ac:dyDescent="0.2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</row>
    <row r="587" spans="1:56" ht="12.75" customHeight="1" x14ac:dyDescent="0.2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</row>
    <row r="588" spans="1:56" ht="12.75" customHeight="1" x14ac:dyDescent="0.2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</row>
    <row r="589" spans="1:56" ht="12.75" customHeight="1" x14ac:dyDescent="0.2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</row>
    <row r="590" spans="1:56" ht="12.75" customHeight="1" x14ac:dyDescent="0.2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</row>
    <row r="591" spans="1:56" ht="12.75" customHeight="1" x14ac:dyDescent="0.2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</row>
    <row r="592" spans="1:56" ht="12.75" customHeight="1" x14ac:dyDescent="0.2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</row>
    <row r="593" spans="1:56" ht="12.75" customHeight="1" x14ac:dyDescent="0.2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</row>
    <row r="594" spans="1:56" ht="12.75" customHeight="1" x14ac:dyDescent="0.2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</row>
    <row r="595" spans="1:56" ht="12.75" customHeight="1" x14ac:dyDescent="0.2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</row>
    <row r="596" spans="1:56" ht="12.75" customHeight="1" x14ac:dyDescent="0.2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</row>
    <row r="597" spans="1:56" ht="12.75" customHeight="1" x14ac:dyDescent="0.2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</row>
    <row r="598" spans="1:56" ht="12.75" customHeight="1" x14ac:dyDescent="0.2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</row>
    <row r="599" spans="1:56" ht="12.75" customHeight="1" x14ac:dyDescent="0.2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</row>
    <row r="600" spans="1:56" ht="12.75" customHeight="1" x14ac:dyDescent="0.2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</row>
    <row r="601" spans="1:56" ht="12.75" customHeight="1" x14ac:dyDescent="0.2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</row>
    <row r="602" spans="1:56" ht="12.75" customHeight="1" x14ac:dyDescent="0.2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</row>
    <row r="603" spans="1:56" ht="12.75" customHeight="1" x14ac:dyDescent="0.2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</row>
    <row r="604" spans="1:56" ht="12.75" customHeight="1" x14ac:dyDescent="0.2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</row>
    <row r="605" spans="1:56" ht="12.75" customHeight="1" x14ac:dyDescent="0.2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</row>
    <row r="606" spans="1:56" ht="12.75" customHeight="1" x14ac:dyDescent="0.2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</row>
    <row r="607" spans="1:56" ht="12.75" customHeight="1" x14ac:dyDescent="0.2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</row>
    <row r="608" spans="1:56" ht="12.75" customHeight="1" x14ac:dyDescent="0.2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</row>
    <row r="609" spans="1:56" ht="12.75" customHeight="1" x14ac:dyDescent="0.2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</row>
    <row r="610" spans="1:56" ht="12.75" customHeight="1" x14ac:dyDescent="0.2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</row>
    <row r="611" spans="1:56" ht="12.75" customHeight="1" x14ac:dyDescent="0.2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</row>
    <row r="612" spans="1:56" ht="12.75" customHeight="1" x14ac:dyDescent="0.2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</row>
    <row r="613" spans="1:56" ht="12.75" customHeight="1" x14ac:dyDescent="0.2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</row>
    <row r="614" spans="1:56" ht="12.75" customHeight="1" x14ac:dyDescent="0.2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</row>
    <row r="615" spans="1:56" ht="12.75" customHeight="1" x14ac:dyDescent="0.2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</row>
    <row r="616" spans="1:56" ht="12.75" customHeight="1" x14ac:dyDescent="0.2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</row>
    <row r="617" spans="1:56" ht="12.75" customHeight="1" x14ac:dyDescent="0.2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</row>
    <row r="618" spans="1:56" ht="12.75" customHeight="1" x14ac:dyDescent="0.2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</row>
    <row r="619" spans="1:56" ht="12.75" customHeight="1" x14ac:dyDescent="0.2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</row>
    <row r="620" spans="1:56" ht="12.75" customHeight="1" x14ac:dyDescent="0.2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</row>
    <row r="621" spans="1:56" ht="12.75" customHeight="1" x14ac:dyDescent="0.2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</row>
    <row r="622" spans="1:56" ht="12.75" customHeight="1" x14ac:dyDescent="0.2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</row>
    <row r="623" spans="1:56" ht="12.75" customHeight="1" x14ac:dyDescent="0.2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</row>
    <row r="624" spans="1:56" ht="12.75" customHeight="1" x14ac:dyDescent="0.2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</row>
    <row r="625" spans="1:56" ht="12.75" customHeight="1" x14ac:dyDescent="0.2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</row>
    <row r="626" spans="1:56" ht="12.75" customHeight="1" x14ac:dyDescent="0.2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</row>
    <row r="627" spans="1:56" ht="12.75" customHeight="1" x14ac:dyDescent="0.2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</row>
    <row r="628" spans="1:56" ht="12.75" customHeight="1" x14ac:dyDescent="0.2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  <c r="AY628" s="31"/>
      <c r="AZ628" s="31"/>
      <c r="BA628" s="31"/>
      <c r="BB628" s="31"/>
      <c r="BC628" s="31"/>
      <c r="BD628" s="31"/>
    </row>
    <row r="629" spans="1:56" ht="12.75" customHeight="1" x14ac:dyDescent="0.2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  <c r="AY629" s="31"/>
      <c r="AZ629" s="31"/>
      <c r="BA629" s="31"/>
      <c r="BB629" s="31"/>
      <c r="BC629" s="31"/>
      <c r="BD629" s="31"/>
    </row>
    <row r="630" spans="1:56" ht="12.75" customHeight="1" x14ac:dyDescent="0.2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  <c r="AY630" s="31"/>
      <c r="AZ630" s="31"/>
      <c r="BA630" s="31"/>
      <c r="BB630" s="31"/>
      <c r="BC630" s="31"/>
      <c r="BD630" s="31"/>
    </row>
    <row r="631" spans="1:56" ht="12.75" customHeight="1" x14ac:dyDescent="0.2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  <c r="AY631" s="31"/>
      <c r="AZ631" s="31"/>
      <c r="BA631" s="31"/>
      <c r="BB631" s="31"/>
      <c r="BC631" s="31"/>
      <c r="BD631" s="31"/>
    </row>
    <row r="632" spans="1:56" ht="12.75" customHeight="1" x14ac:dyDescent="0.2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  <c r="AY632" s="31"/>
      <c r="AZ632" s="31"/>
      <c r="BA632" s="31"/>
      <c r="BB632" s="31"/>
      <c r="BC632" s="31"/>
      <c r="BD632" s="31"/>
    </row>
    <row r="633" spans="1:56" ht="12.75" customHeight="1" x14ac:dyDescent="0.2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  <c r="AY633" s="31"/>
      <c r="AZ633" s="31"/>
      <c r="BA633" s="31"/>
      <c r="BB633" s="31"/>
      <c r="BC633" s="31"/>
      <c r="BD633" s="31"/>
    </row>
    <row r="634" spans="1:56" ht="12.75" customHeight="1" x14ac:dyDescent="0.2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  <c r="AY634" s="31"/>
      <c r="AZ634" s="31"/>
      <c r="BA634" s="31"/>
      <c r="BB634" s="31"/>
      <c r="BC634" s="31"/>
      <c r="BD634" s="31"/>
    </row>
    <row r="635" spans="1:56" ht="12.75" customHeight="1" x14ac:dyDescent="0.2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  <c r="AY635" s="31"/>
      <c r="AZ635" s="31"/>
      <c r="BA635" s="31"/>
      <c r="BB635" s="31"/>
      <c r="BC635" s="31"/>
      <c r="BD635" s="31"/>
    </row>
    <row r="636" spans="1:56" ht="12.75" customHeight="1" x14ac:dyDescent="0.2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  <c r="AY636" s="31"/>
      <c r="AZ636" s="31"/>
      <c r="BA636" s="31"/>
      <c r="BB636" s="31"/>
      <c r="BC636" s="31"/>
      <c r="BD636" s="31"/>
    </row>
    <row r="637" spans="1:56" ht="12.75" customHeight="1" x14ac:dyDescent="0.2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  <c r="AY637" s="31"/>
      <c r="AZ637" s="31"/>
      <c r="BA637" s="31"/>
      <c r="BB637" s="31"/>
      <c r="BC637" s="31"/>
      <c r="BD637" s="31"/>
    </row>
    <row r="638" spans="1:56" ht="12.75" customHeight="1" x14ac:dyDescent="0.2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  <c r="AY638" s="31"/>
      <c r="AZ638" s="31"/>
      <c r="BA638" s="31"/>
      <c r="BB638" s="31"/>
      <c r="BC638" s="31"/>
      <c r="BD638" s="31"/>
    </row>
    <row r="639" spans="1:56" ht="12.75" customHeight="1" x14ac:dyDescent="0.2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  <c r="AY639" s="31"/>
      <c r="AZ639" s="31"/>
      <c r="BA639" s="31"/>
      <c r="BB639" s="31"/>
      <c r="BC639" s="31"/>
      <c r="BD639" s="31"/>
    </row>
    <row r="640" spans="1:56" ht="12.75" customHeight="1" x14ac:dyDescent="0.2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  <c r="AY640" s="31"/>
      <c r="AZ640" s="31"/>
      <c r="BA640" s="31"/>
      <c r="BB640" s="31"/>
      <c r="BC640" s="31"/>
      <c r="BD640" s="31"/>
    </row>
    <row r="641" spans="1:56" ht="12.75" customHeight="1" x14ac:dyDescent="0.2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  <c r="AY641" s="31"/>
      <c r="AZ641" s="31"/>
      <c r="BA641" s="31"/>
      <c r="BB641" s="31"/>
      <c r="BC641" s="31"/>
      <c r="BD641" s="31"/>
    </row>
    <row r="642" spans="1:56" ht="12.75" customHeight="1" x14ac:dyDescent="0.2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  <c r="AY642" s="31"/>
      <c r="AZ642" s="31"/>
      <c r="BA642" s="31"/>
      <c r="BB642" s="31"/>
      <c r="BC642" s="31"/>
      <c r="BD642" s="31"/>
    </row>
    <row r="643" spans="1:56" ht="12.75" customHeight="1" x14ac:dyDescent="0.2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  <c r="AY643" s="31"/>
      <c r="AZ643" s="31"/>
      <c r="BA643" s="31"/>
      <c r="BB643" s="31"/>
      <c r="BC643" s="31"/>
      <c r="BD643" s="31"/>
    </row>
    <row r="644" spans="1:56" ht="12.75" customHeight="1" x14ac:dyDescent="0.2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  <c r="AY644" s="31"/>
      <c r="AZ644" s="31"/>
      <c r="BA644" s="31"/>
      <c r="BB644" s="31"/>
      <c r="BC644" s="31"/>
      <c r="BD644" s="31"/>
    </row>
    <row r="645" spans="1:56" ht="12.75" customHeight="1" x14ac:dyDescent="0.2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  <c r="AY645" s="31"/>
      <c r="AZ645" s="31"/>
      <c r="BA645" s="31"/>
      <c r="BB645" s="31"/>
      <c r="BC645" s="31"/>
      <c r="BD645" s="31"/>
    </row>
    <row r="646" spans="1:56" ht="12.75" customHeight="1" x14ac:dyDescent="0.2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  <c r="AY646" s="31"/>
      <c r="AZ646" s="31"/>
      <c r="BA646" s="31"/>
      <c r="BB646" s="31"/>
      <c r="BC646" s="31"/>
      <c r="BD646" s="31"/>
    </row>
    <row r="647" spans="1:56" ht="12.75" customHeight="1" x14ac:dyDescent="0.2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  <c r="AY647" s="31"/>
      <c r="AZ647" s="31"/>
      <c r="BA647" s="31"/>
      <c r="BB647" s="31"/>
      <c r="BC647" s="31"/>
      <c r="BD647" s="31"/>
    </row>
    <row r="648" spans="1:56" ht="12.75" customHeight="1" x14ac:dyDescent="0.2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</row>
    <row r="649" spans="1:56" ht="12.75" customHeight="1" x14ac:dyDescent="0.2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</row>
    <row r="650" spans="1:56" ht="12.75" customHeight="1" x14ac:dyDescent="0.2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</row>
    <row r="651" spans="1:56" ht="12.75" customHeight="1" x14ac:dyDescent="0.2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</row>
    <row r="652" spans="1:56" ht="12.75" customHeight="1" x14ac:dyDescent="0.2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</row>
    <row r="653" spans="1:56" ht="12.75" customHeight="1" x14ac:dyDescent="0.2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</row>
    <row r="654" spans="1:56" ht="12.75" customHeight="1" x14ac:dyDescent="0.2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</row>
    <row r="655" spans="1:56" ht="12.75" customHeight="1" x14ac:dyDescent="0.2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</row>
    <row r="656" spans="1:56" ht="12.75" customHeight="1" x14ac:dyDescent="0.2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</row>
    <row r="657" spans="1:56" ht="12.75" customHeight="1" x14ac:dyDescent="0.2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</row>
    <row r="658" spans="1:56" ht="12.75" customHeight="1" x14ac:dyDescent="0.2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</row>
    <row r="659" spans="1:56" ht="12.75" customHeight="1" x14ac:dyDescent="0.2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</row>
    <row r="660" spans="1:56" ht="12.75" customHeight="1" x14ac:dyDescent="0.2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  <c r="AY660" s="31"/>
      <c r="AZ660" s="31"/>
      <c r="BA660" s="31"/>
      <c r="BB660" s="31"/>
      <c r="BC660" s="31"/>
      <c r="BD660" s="31"/>
    </row>
    <row r="661" spans="1:56" ht="12.75" customHeight="1" x14ac:dyDescent="0.2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  <c r="AY661" s="31"/>
      <c r="AZ661" s="31"/>
      <c r="BA661" s="31"/>
      <c r="BB661" s="31"/>
      <c r="BC661" s="31"/>
      <c r="BD661" s="31"/>
    </row>
    <row r="662" spans="1:56" ht="12.75" customHeight="1" x14ac:dyDescent="0.2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  <c r="AY662" s="31"/>
      <c r="AZ662" s="31"/>
      <c r="BA662" s="31"/>
      <c r="BB662" s="31"/>
      <c r="BC662" s="31"/>
      <c r="BD662" s="31"/>
    </row>
    <row r="663" spans="1:56" ht="12.75" customHeight="1" x14ac:dyDescent="0.2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  <c r="AY663" s="31"/>
      <c r="AZ663" s="31"/>
      <c r="BA663" s="31"/>
      <c r="BB663" s="31"/>
      <c r="BC663" s="31"/>
      <c r="BD663" s="31"/>
    </row>
    <row r="664" spans="1:56" ht="12.75" customHeight="1" x14ac:dyDescent="0.2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  <c r="AY664" s="31"/>
      <c r="AZ664" s="31"/>
      <c r="BA664" s="31"/>
      <c r="BB664" s="31"/>
      <c r="BC664" s="31"/>
      <c r="BD664" s="31"/>
    </row>
    <row r="665" spans="1:56" ht="12.75" customHeight="1" x14ac:dyDescent="0.2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  <c r="AY665" s="31"/>
      <c r="AZ665" s="31"/>
      <c r="BA665" s="31"/>
      <c r="BB665" s="31"/>
      <c r="BC665" s="31"/>
      <c r="BD665" s="31"/>
    </row>
    <row r="666" spans="1:56" ht="12.75" customHeight="1" x14ac:dyDescent="0.2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  <c r="AY666" s="31"/>
      <c r="AZ666" s="31"/>
      <c r="BA666" s="31"/>
      <c r="BB666" s="31"/>
      <c r="BC666" s="31"/>
      <c r="BD666" s="31"/>
    </row>
    <row r="667" spans="1:56" ht="12.75" customHeight="1" x14ac:dyDescent="0.2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  <c r="AY667" s="31"/>
      <c r="AZ667" s="31"/>
      <c r="BA667" s="31"/>
      <c r="BB667" s="31"/>
      <c r="BC667" s="31"/>
      <c r="BD667" s="31"/>
    </row>
    <row r="668" spans="1:56" ht="12.75" customHeight="1" x14ac:dyDescent="0.2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</row>
    <row r="669" spans="1:56" ht="12.75" customHeight="1" x14ac:dyDescent="0.2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</row>
    <row r="670" spans="1:56" ht="12.75" customHeight="1" x14ac:dyDescent="0.2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</row>
    <row r="671" spans="1:56" ht="12.75" customHeight="1" x14ac:dyDescent="0.2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</row>
    <row r="672" spans="1:56" ht="12.75" customHeight="1" x14ac:dyDescent="0.2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  <c r="AY672" s="31"/>
      <c r="AZ672" s="31"/>
      <c r="BA672" s="31"/>
      <c r="BB672" s="31"/>
      <c r="BC672" s="31"/>
      <c r="BD672" s="31"/>
    </row>
    <row r="673" spans="1:56" ht="12.75" customHeight="1" x14ac:dyDescent="0.2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  <c r="AY673" s="31"/>
      <c r="AZ673" s="31"/>
      <c r="BA673" s="31"/>
      <c r="BB673" s="31"/>
      <c r="BC673" s="31"/>
      <c r="BD673" s="31"/>
    </row>
    <row r="674" spans="1:56" ht="12.75" customHeight="1" x14ac:dyDescent="0.2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  <c r="AY674" s="31"/>
      <c r="AZ674" s="31"/>
      <c r="BA674" s="31"/>
      <c r="BB674" s="31"/>
      <c r="BC674" s="31"/>
      <c r="BD674" s="31"/>
    </row>
    <row r="675" spans="1:56" ht="12.75" customHeight="1" x14ac:dyDescent="0.2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</row>
    <row r="676" spans="1:56" ht="12.75" customHeight="1" x14ac:dyDescent="0.2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  <c r="AY676" s="31"/>
      <c r="AZ676" s="31"/>
      <c r="BA676" s="31"/>
      <c r="BB676" s="31"/>
      <c r="BC676" s="31"/>
      <c r="BD676" s="31"/>
    </row>
    <row r="677" spans="1:56" ht="12.75" customHeight="1" x14ac:dyDescent="0.2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  <c r="AY677" s="31"/>
      <c r="AZ677" s="31"/>
      <c r="BA677" s="31"/>
      <c r="BB677" s="31"/>
      <c r="BC677" s="31"/>
      <c r="BD677" s="31"/>
    </row>
    <row r="678" spans="1:56" ht="12.75" customHeight="1" x14ac:dyDescent="0.2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  <c r="AY678" s="31"/>
      <c r="AZ678" s="31"/>
      <c r="BA678" s="31"/>
      <c r="BB678" s="31"/>
      <c r="BC678" s="31"/>
      <c r="BD678" s="31"/>
    </row>
    <row r="679" spans="1:56" ht="12.75" customHeight="1" x14ac:dyDescent="0.2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</row>
    <row r="680" spans="1:56" ht="12.75" customHeight="1" x14ac:dyDescent="0.2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  <c r="AY680" s="31"/>
      <c r="AZ680" s="31"/>
      <c r="BA680" s="31"/>
      <c r="BB680" s="31"/>
      <c r="BC680" s="31"/>
      <c r="BD680" s="31"/>
    </row>
    <row r="681" spans="1:56" ht="12.75" customHeight="1" x14ac:dyDescent="0.2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  <c r="AY681" s="31"/>
      <c r="AZ681" s="31"/>
      <c r="BA681" s="31"/>
      <c r="BB681" s="31"/>
      <c r="BC681" s="31"/>
      <c r="BD681" s="31"/>
    </row>
    <row r="682" spans="1:56" ht="12.75" customHeight="1" x14ac:dyDescent="0.2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  <c r="AY682" s="31"/>
      <c r="AZ682" s="31"/>
      <c r="BA682" s="31"/>
      <c r="BB682" s="31"/>
      <c r="BC682" s="31"/>
      <c r="BD682" s="31"/>
    </row>
    <row r="683" spans="1:56" ht="12.75" customHeight="1" x14ac:dyDescent="0.2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</row>
    <row r="684" spans="1:56" ht="12.75" customHeight="1" x14ac:dyDescent="0.2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  <c r="AY684" s="31"/>
      <c r="AZ684" s="31"/>
      <c r="BA684" s="31"/>
      <c r="BB684" s="31"/>
      <c r="BC684" s="31"/>
      <c r="BD684" s="31"/>
    </row>
    <row r="685" spans="1:56" ht="12.75" customHeight="1" x14ac:dyDescent="0.2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  <c r="AY685" s="31"/>
      <c r="AZ685" s="31"/>
      <c r="BA685" s="31"/>
      <c r="BB685" s="31"/>
      <c r="BC685" s="31"/>
      <c r="BD685" s="31"/>
    </row>
    <row r="686" spans="1:56" ht="12.75" customHeight="1" x14ac:dyDescent="0.2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  <c r="AY686" s="31"/>
      <c r="AZ686" s="31"/>
      <c r="BA686" s="31"/>
      <c r="BB686" s="31"/>
      <c r="BC686" s="31"/>
      <c r="BD686" s="31"/>
    </row>
    <row r="687" spans="1:56" ht="12.75" customHeight="1" x14ac:dyDescent="0.2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</row>
    <row r="688" spans="1:56" ht="12.75" customHeight="1" x14ac:dyDescent="0.2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  <c r="AY688" s="31"/>
      <c r="AZ688" s="31"/>
      <c r="BA688" s="31"/>
      <c r="BB688" s="31"/>
      <c r="BC688" s="31"/>
      <c r="BD688" s="31"/>
    </row>
    <row r="689" spans="1:56" ht="12.75" customHeight="1" x14ac:dyDescent="0.2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  <c r="AY689" s="31"/>
      <c r="AZ689" s="31"/>
      <c r="BA689" s="31"/>
      <c r="BB689" s="31"/>
      <c r="BC689" s="31"/>
      <c r="BD689" s="31"/>
    </row>
    <row r="690" spans="1:56" ht="12.75" customHeight="1" x14ac:dyDescent="0.2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  <c r="AY690" s="31"/>
      <c r="AZ690" s="31"/>
      <c r="BA690" s="31"/>
      <c r="BB690" s="31"/>
      <c r="BC690" s="31"/>
      <c r="BD690" s="31"/>
    </row>
    <row r="691" spans="1:56" ht="12.75" customHeight="1" x14ac:dyDescent="0.2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</row>
    <row r="692" spans="1:56" ht="12.75" customHeight="1" x14ac:dyDescent="0.2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  <c r="AY692" s="31"/>
      <c r="AZ692" s="31"/>
      <c r="BA692" s="31"/>
      <c r="BB692" s="31"/>
      <c r="BC692" s="31"/>
      <c r="BD692" s="31"/>
    </row>
    <row r="693" spans="1:56" ht="12.75" customHeight="1" x14ac:dyDescent="0.2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  <c r="AY693" s="31"/>
      <c r="AZ693" s="31"/>
      <c r="BA693" s="31"/>
      <c r="BB693" s="31"/>
      <c r="BC693" s="31"/>
      <c r="BD693" s="31"/>
    </row>
    <row r="694" spans="1:56" ht="12.75" customHeight="1" x14ac:dyDescent="0.2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</row>
    <row r="695" spans="1:56" ht="12.75" customHeight="1" x14ac:dyDescent="0.2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</row>
    <row r="696" spans="1:56" ht="12.75" customHeight="1" x14ac:dyDescent="0.2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  <c r="AY696" s="31"/>
      <c r="AZ696" s="31"/>
      <c r="BA696" s="31"/>
      <c r="BB696" s="31"/>
      <c r="BC696" s="31"/>
      <c r="BD696" s="31"/>
    </row>
    <row r="697" spans="1:56" ht="12.75" customHeight="1" x14ac:dyDescent="0.2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  <c r="AY697" s="31"/>
      <c r="AZ697" s="31"/>
      <c r="BA697" s="31"/>
      <c r="BB697" s="31"/>
      <c r="BC697" s="31"/>
      <c r="BD697" s="31"/>
    </row>
    <row r="698" spans="1:56" ht="12.75" customHeight="1" x14ac:dyDescent="0.2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  <c r="AY698" s="31"/>
      <c r="AZ698" s="31"/>
      <c r="BA698" s="31"/>
      <c r="BB698" s="31"/>
      <c r="BC698" s="31"/>
      <c r="BD698" s="31"/>
    </row>
    <row r="699" spans="1:56" ht="12.75" customHeight="1" x14ac:dyDescent="0.2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</row>
    <row r="700" spans="1:56" ht="12.75" customHeight="1" x14ac:dyDescent="0.2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</row>
    <row r="701" spans="1:56" ht="12.75" customHeight="1" x14ac:dyDescent="0.2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  <c r="AY701" s="31"/>
      <c r="AZ701" s="31"/>
      <c r="BA701" s="31"/>
      <c r="BB701" s="31"/>
      <c r="BC701" s="31"/>
      <c r="BD701" s="31"/>
    </row>
    <row r="702" spans="1:56" ht="12.75" customHeight="1" x14ac:dyDescent="0.2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  <c r="AY702" s="31"/>
      <c r="AZ702" s="31"/>
      <c r="BA702" s="31"/>
      <c r="BB702" s="31"/>
      <c r="BC702" s="31"/>
      <c r="BD702" s="31"/>
    </row>
    <row r="703" spans="1:56" ht="12.75" customHeight="1" x14ac:dyDescent="0.2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</row>
    <row r="704" spans="1:56" ht="12.75" customHeight="1" x14ac:dyDescent="0.2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  <c r="AY704" s="31"/>
      <c r="AZ704" s="31"/>
      <c r="BA704" s="31"/>
      <c r="BB704" s="31"/>
      <c r="BC704" s="31"/>
      <c r="BD704" s="31"/>
    </row>
    <row r="705" spans="1:56" ht="12.75" customHeight="1" x14ac:dyDescent="0.2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  <c r="AY705" s="31"/>
      <c r="AZ705" s="31"/>
      <c r="BA705" s="31"/>
      <c r="BB705" s="31"/>
      <c r="BC705" s="31"/>
      <c r="BD705" s="31"/>
    </row>
    <row r="706" spans="1:56" ht="12.75" customHeight="1" x14ac:dyDescent="0.2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  <c r="AY706" s="31"/>
      <c r="AZ706" s="31"/>
      <c r="BA706" s="31"/>
      <c r="BB706" s="31"/>
      <c r="BC706" s="31"/>
      <c r="BD706" s="31"/>
    </row>
    <row r="707" spans="1:56" ht="12.75" customHeight="1" x14ac:dyDescent="0.2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</row>
    <row r="708" spans="1:56" ht="12.75" customHeight="1" x14ac:dyDescent="0.2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  <c r="AY708" s="31"/>
      <c r="AZ708" s="31"/>
      <c r="BA708" s="31"/>
      <c r="BB708" s="31"/>
      <c r="BC708" s="31"/>
      <c r="BD708" s="31"/>
    </row>
    <row r="709" spans="1:56" ht="12.75" customHeight="1" x14ac:dyDescent="0.2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  <c r="AY709" s="31"/>
      <c r="AZ709" s="31"/>
      <c r="BA709" s="31"/>
      <c r="BB709" s="31"/>
      <c r="BC709" s="31"/>
      <c r="BD709" s="31"/>
    </row>
    <row r="710" spans="1:56" ht="12.75" customHeight="1" x14ac:dyDescent="0.2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  <c r="AY710" s="31"/>
      <c r="AZ710" s="31"/>
      <c r="BA710" s="31"/>
      <c r="BB710" s="31"/>
      <c r="BC710" s="31"/>
      <c r="BD710" s="31"/>
    </row>
    <row r="711" spans="1:56" ht="12.75" customHeight="1" x14ac:dyDescent="0.2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</row>
    <row r="712" spans="1:56" ht="12.75" customHeight="1" x14ac:dyDescent="0.2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  <c r="AY712" s="31"/>
      <c r="AZ712" s="31"/>
      <c r="BA712" s="31"/>
      <c r="BB712" s="31"/>
      <c r="BC712" s="31"/>
      <c r="BD712" s="31"/>
    </row>
    <row r="713" spans="1:56" ht="12.75" customHeight="1" x14ac:dyDescent="0.2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  <c r="AY713" s="31"/>
      <c r="AZ713" s="31"/>
      <c r="BA713" s="31"/>
      <c r="BB713" s="31"/>
      <c r="BC713" s="31"/>
      <c r="BD713" s="31"/>
    </row>
    <row r="714" spans="1:56" ht="12.75" customHeight="1" x14ac:dyDescent="0.2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</row>
    <row r="715" spans="1:56" ht="12.75" customHeight="1" x14ac:dyDescent="0.2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</row>
    <row r="716" spans="1:56" ht="12.75" customHeight="1" x14ac:dyDescent="0.2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</row>
    <row r="717" spans="1:56" ht="12.75" customHeight="1" x14ac:dyDescent="0.2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</row>
    <row r="718" spans="1:56" ht="12.75" customHeight="1" x14ac:dyDescent="0.2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</row>
    <row r="719" spans="1:56" ht="12.75" customHeight="1" x14ac:dyDescent="0.2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</row>
    <row r="720" spans="1:56" ht="12.75" customHeight="1" x14ac:dyDescent="0.2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  <c r="AY720" s="31"/>
      <c r="AZ720" s="31"/>
      <c r="BA720" s="31"/>
      <c r="BB720" s="31"/>
      <c r="BC720" s="31"/>
      <c r="BD720" s="31"/>
    </row>
    <row r="721" spans="1:56" ht="12.75" customHeight="1" x14ac:dyDescent="0.2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  <c r="AY721" s="31"/>
      <c r="AZ721" s="31"/>
      <c r="BA721" s="31"/>
      <c r="BB721" s="31"/>
      <c r="BC721" s="31"/>
      <c r="BD721" s="31"/>
    </row>
    <row r="722" spans="1:56" ht="12.75" customHeight="1" x14ac:dyDescent="0.2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  <c r="AY722" s="31"/>
      <c r="AZ722" s="31"/>
      <c r="BA722" s="31"/>
      <c r="BB722" s="31"/>
      <c r="BC722" s="31"/>
      <c r="BD722" s="31"/>
    </row>
    <row r="723" spans="1:56" ht="12.75" customHeight="1" x14ac:dyDescent="0.2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  <c r="AY723" s="31"/>
      <c r="AZ723" s="31"/>
      <c r="BA723" s="31"/>
      <c r="BB723" s="31"/>
      <c r="BC723" s="31"/>
      <c r="BD723" s="31"/>
    </row>
    <row r="724" spans="1:56" ht="12.75" customHeight="1" x14ac:dyDescent="0.2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  <c r="AY724" s="31"/>
      <c r="AZ724" s="31"/>
      <c r="BA724" s="31"/>
      <c r="BB724" s="31"/>
      <c r="BC724" s="31"/>
      <c r="BD724" s="31"/>
    </row>
    <row r="725" spans="1:56" ht="12.75" customHeight="1" x14ac:dyDescent="0.2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  <c r="AY725" s="31"/>
      <c r="AZ725" s="31"/>
      <c r="BA725" s="31"/>
      <c r="BB725" s="31"/>
      <c r="BC725" s="31"/>
      <c r="BD725" s="31"/>
    </row>
    <row r="726" spans="1:56" ht="12.75" customHeight="1" x14ac:dyDescent="0.2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  <c r="AY726" s="31"/>
      <c r="AZ726" s="31"/>
      <c r="BA726" s="31"/>
      <c r="BB726" s="31"/>
      <c r="BC726" s="31"/>
      <c r="BD726" s="31"/>
    </row>
    <row r="727" spans="1:56" ht="12.75" customHeight="1" x14ac:dyDescent="0.2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  <c r="AY727" s="31"/>
      <c r="AZ727" s="31"/>
      <c r="BA727" s="31"/>
      <c r="BB727" s="31"/>
      <c r="BC727" s="31"/>
      <c r="BD727" s="31"/>
    </row>
    <row r="728" spans="1:56" ht="12.75" customHeight="1" x14ac:dyDescent="0.2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</row>
    <row r="729" spans="1:56" ht="12.75" customHeight="1" x14ac:dyDescent="0.2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  <c r="AY729" s="31"/>
      <c r="AZ729" s="31"/>
      <c r="BA729" s="31"/>
      <c r="BB729" s="31"/>
      <c r="BC729" s="31"/>
      <c r="BD729" s="31"/>
    </row>
    <row r="730" spans="1:56" ht="12.75" customHeight="1" x14ac:dyDescent="0.2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  <c r="AY730" s="31"/>
      <c r="AZ730" s="31"/>
      <c r="BA730" s="31"/>
      <c r="BB730" s="31"/>
      <c r="BC730" s="31"/>
      <c r="BD730" s="31"/>
    </row>
    <row r="731" spans="1:56" ht="12.75" customHeight="1" x14ac:dyDescent="0.2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  <c r="AY731" s="31"/>
      <c r="AZ731" s="31"/>
      <c r="BA731" s="31"/>
      <c r="BB731" s="31"/>
      <c r="BC731" s="31"/>
      <c r="BD731" s="31"/>
    </row>
    <row r="732" spans="1:56" ht="12.75" customHeight="1" x14ac:dyDescent="0.2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  <c r="AY732" s="31"/>
      <c r="AZ732" s="31"/>
      <c r="BA732" s="31"/>
      <c r="BB732" s="31"/>
      <c r="BC732" s="31"/>
      <c r="BD732" s="31"/>
    </row>
    <row r="733" spans="1:56" ht="12.75" customHeight="1" x14ac:dyDescent="0.2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  <c r="AY733" s="31"/>
      <c r="AZ733" s="31"/>
      <c r="BA733" s="31"/>
      <c r="BB733" s="31"/>
      <c r="BC733" s="31"/>
      <c r="BD733" s="31"/>
    </row>
    <row r="734" spans="1:56" ht="12.75" customHeight="1" x14ac:dyDescent="0.2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  <c r="AY734" s="31"/>
      <c r="AZ734" s="31"/>
      <c r="BA734" s="31"/>
      <c r="BB734" s="31"/>
      <c r="BC734" s="31"/>
      <c r="BD734" s="31"/>
    </row>
    <row r="735" spans="1:56" ht="12.75" customHeight="1" x14ac:dyDescent="0.2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  <c r="AY735" s="31"/>
      <c r="AZ735" s="31"/>
      <c r="BA735" s="31"/>
      <c r="BB735" s="31"/>
      <c r="BC735" s="31"/>
      <c r="BD735" s="31"/>
    </row>
    <row r="736" spans="1:56" ht="12.75" customHeight="1" x14ac:dyDescent="0.2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  <c r="AY736" s="31"/>
      <c r="AZ736" s="31"/>
      <c r="BA736" s="31"/>
      <c r="BB736" s="31"/>
      <c r="BC736" s="31"/>
      <c r="BD736" s="31"/>
    </row>
    <row r="737" spans="1:56" ht="12.75" customHeight="1" x14ac:dyDescent="0.2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  <c r="AX737" s="31"/>
      <c r="AY737" s="31"/>
      <c r="AZ737" s="31"/>
      <c r="BA737" s="31"/>
      <c r="BB737" s="31"/>
      <c r="BC737" s="31"/>
      <c r="BD737" s="31"/>
    </row>
    <row r="738" spans="1:56" ht="12.75" customHeight="1" x14ac:dyDescent="0.2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  <c r="AX738" s="31"/>
      <c r="AY738" s="31"/>
      <c r="AZ738" s="31"/>
      <c r="BA738" s="31"/>
      <c r="BB738" s="31"/>
      <c r="BC738" s="31"/>
      <c r="BD738" s="31"/>
    </row>
    <row r="739" spans="1:56" ht="12.75" customHeight="1" x14ac:dyDescent="0.2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  <c r="AY739" s="31"/>
      <c r="AZ739" s="31"/>
      <c r="BA739" s="31"/>
      <c r="BB739" s="31"/>
      <c r="BC739" s="31"/>
      <c r="BD739" s="31"/>
    </row>
    <row r="740" spans="1:56" ht="12.75" customHeight="1" x14ac:dyDescent="0.2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  <c r="AY740" s="31"/>
      <c r="AZ740" s="31"/>
      <c r="BA740" s="31"/>
      <c r="BB740" s="31"/>
      <c r="BC740" s="31"/>
      <c r="BD740" s="31"/>
    </row>
    <row r="741" spans="1:56" ht="12.75" customHeight="1" x14ac:dyDescent="0.2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  <c r="AY741" s="31"/>
      <c r="AZ741" s="31"/>
      <c r="BA741" s="31"/>
      <c r="BB741" s="31"/>
      <c r="BC741" s="31"/>
      <c r="BD741" s="31"/>
    </row>
    <row r="742" spans="1:56" ht="12.75" customHeight="1" x14ac:dyDescent="0.2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  <c r="AY742" s="31"/>
      <c r="AZ742" s="31"/>
      <c r="BA742" s="31"/>
      <c r="BB742" s="31"/>
      <c r="BC742" s="31"/>
      <c r="BD742" s="31"/>
    </row>
    <row r="743" spans="1:56" ht="12.75" customHeight="1" x14ac:dyDescent="0.2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  <c r="AY743" s="31"/>
      <c r="AZ743" s="31"/>
      <c r="BA743" s="31"/>
      <c r="BB743" s="31"/>
      <c r="BC743" s="31"/>
      <c r="BD743" s="31"/>
    </row>
    <row r="744" spans="1:56" ht="12.75" customHeight="1" x14ac:dyDescent="0.2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  <c r="AY744" s="31"/>
      <c r="AZ744" s="31"/>
      <c r="BA744" s="31"/>
      <c r="BB744" s="31"/>
      <c r="BC744" s="31"/>
      <c r="BD744" s="31"/>
    </row>
    <row r="745" spans="1:56" ht="12.75" customHeight="1" x14ac:dyDescent="0.2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  <c r="AY745" s="31"/>
      <c r="AZ745" s="31"/>
      <c r="BA745" s="31"/>
      <c r="BB745" s="31"/>
      <c r="BC745" s="31"/>
      <c r="BD745" s="31"/>
    </row>
    <row r="746" spans="1:56" ht="12.75" customHeight="1" x14ac:dyDescent="0.2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  <c r="AY746" s="31"/>
      <c r="AZ746" s="31"/>
      <c r="BA746" s="31"/>
      <c r="BB746" s="31"/>
      <c r="BC746" s="31"/>
      <c r="BD746" s="31"/>
    </row>
    <row r="747" spans="1:56" ht="12.75" customHeight="1" x14ac:dyDescent="0.2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  <c r="AY747" s="31"/>
      <c r="AZ747" s="31"/>
      <c r="BA747" s="31"/>
      <c r="BB747" s="31"/>
      <c r="BC747" s="31"/>
      <c r="BD747" s="31"/>
    </row>
    <row r="748" spans="1:56" ht="12.75" customHeight="1" x14ac:dyDescent="0.2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  <c r="AY748" s="31"/>
      <c r="AZ748" s="31"/>
      <c r="BA748" s="31"/>
      <c r="BB748" s="31"/>
      <c r="BC748" s="31"/>
      <c r="BD748" s="31"/>
    </row>
    <row r="749" spans="1:56" ht="12.75" customHeight="1" x14ac:dyDescent="0.2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</row>
    <row r="750" spans="1:56" ht="12.75" customHeight="1" x14ac:dyDescent="0.2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</row>
    <row r="751" spans="1:56" ht="12.75" customHeight="1" x14ac:dyDescent="0.2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</row>
    <row r="752" spans="1:56" ht="12.75" customHeight="1" x14ac:dyDescent="0.2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  <c r="AY752" s="31"/>
      <c r="AZ752" s="31"/>
      <c r="BA752" s="31"/>
      <c r="BB752" s="31"/>
      <c r="BC752" s="31"/>
      <c r="BD752" s="31"/>
    </row>
    <row r="753" spans="1:56" ht="12.75" customHeight="1" x14ac:dyDescent="0.2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  <c r="AY753" s="31"/>
      <c r="AZ753" s="31"/>
      <c r="BA753" s="31"/>
      <c r="BB753" s="31"/>
      <c r="BC753" s="31"/>
      <c r="BD753" s="31"/>
    </row>
    <row r="754" spans="1:56" ht="12.75" customHeight="1" x14ac:dyDescent="0.2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  <c r="AY754" s="31"/>
      <c r="AZ754" s="31"/>
      <c r="BA754" s="31"/>
      <c r="BB754" s="31"/>
      <c r="BC754" s="31"/>
      <c r="BD754" s="31"/>
    </row>
    <row r="755" spans="1:56" ht="12.75" customHeight="1" x14ac:dyDescent="0.2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</row>
    <row r="756" spans="1:56" ht="12.75" customHeight="1" x14ac:dyDescent="0.2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  <c r="AY756" s="31"/>
      <c r="AZ756" s="31"/>
      <c r="BA756" s="31"/>
      <c r="BB756" s="31"/>
      <c r="BC756" s="31"/>
      <c r="BD756" s="31"/>
    </row>
    <row r="757" spans="1:56" ht="12.75" customHeight="1" x14ac:dyDescent="0.2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  <c r="AY757" s="31"/>
      <c r="AZ757" s="31"/>
      <c r="BA757" s="31"/>
      <c r="BB757" s="31"/>
      <c r="BC757" s="31"/>
      <c r="BD757" s="31"/>
    </row>
    <row r="758" spans="1:56" ht="12.75" customHeight="1" x14ac:dyDescent="0.2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  <c r="AY758" s="31"/>
      <c r="AZ758" s="31"/>
      <c r="BA758" s="31"/>
      <c r="BB758" s="31"/>
      <c r="BC758" s="31"/>
      <c r="BD758" s="31"/>
    </row>
    <row r="759" spans="1:56" ht="12.75" customHeight="1" x14ac:dyDescent="0.2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  <c r="AY759" s="31"/>
      <c r="AZ759" s="31"/>
      <c r="BA759" s="31"/>
      <c r="BB759" s="31"/>
      <c r="BC759" s="31"/>
      <c r="BD759" s="31"/>
    </row>
    <row r="760" spans="1:56" ht="12.75" customHeight="1" x14ac:dyDescent="0.2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  <c r="AY760" s="31"/>
      <c r="AZ760" s="31"/>
      <c r="BA760" s="31"/>
      <c r="BB760" s="31"/>
      <c r="BC760" s="31"/>
      <c r="BD760" s="31"/>
    </row>
    <row r="761" spans="1:56" ht="12.75" customHeight="1" x14ac:dyDescent="0.2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  <c r="AY761" s="31"/>
      <c r="AZ761" s="31"/>
      <c r="BA761" s="31"/>
      <c r="BB761" s="31"/>
      <c r="BC761" s="31"/>
      <c r="BD761" s="31"/>
    </row>
    <row r="762" spans="1:56" ht="12.75" customHeight="1" x14ac:dyDescent="0.2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  <c r="AY762" s="31"/>
      <c r="AZ762" s="31"/>
      <c r="BA762" s="31"/>
      <c r="BB762" s="31"/>
      <c r="BC762" s="31"/>
      <c r="BD762" s="31"/>
    </row>
    <row r="763" spans="1:56" ht="12.75" customHeight="1" x14ac:dyDescent="0.2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  <c r="AY763" s="31"/>
      <c r="AZ763" s="31"/>
      <c r="BA763" s="31"/>
      <c r="BB763" s="31"/>
      <c r="BC763" s="31"/>
      <c r="BD763" s="31"/>
    </row>
    <row r="764" spans="1:56" ht="12.75" customHeight="1" x14ac:dyDescent="0.2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  <c r="AY764" s="31"/>
      <c r="AZ764" s="31"/>
      <c r="BA764" s="31"/>
      <c r="BB764" s="31"/>
      <c r="BC764" s="31"/>
      <c r="BD764" s="31"/>
    </row>
    <row r="765" spans="1:56" ht="12.75" customHeight="1" x14ac:dyDescent="0.2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  <c r="AY765" s="31"/>
      <c r="AZ765" s="31"/>
      <c r="BA765" s="31"/>
      <c r="BB765" s="31"/>
      <c r="BC765" s="31"/>
      <c r="BD765" s="31"/>
    </row>
    <row r="766" spans="1:56" ht="12.75" customHeight="1" x14ac:dyDescent="0.2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  <c r="AY766" s="31"/>
      <c r="AZ766" s="31"/>
      <c r="BA766" s="31"/>
      <c r="BB766" s="31"/>
      <c r="BC766" s="31"/>
      <c r="BD766" s="31"/>
    </row>
    <row r="767" spans="1:56" ht="12.75" customHeight="1" x14ac:dyDescent="0.2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  <c r="AY767" s="31"/>
      <c r="AZ767" s="31"/>
      <c r="BA767" s="31"/>
      <c r="BB767" s="31"/>
      <c r="BC767" s="31"/>
      <c r="BD767" s="31"/>
    </row>
    <row r="768" spans="1:56" ht="12.75" customHeight="1" x14ac:dyDescent="0.2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  <c r="AY768" s="31"/>
      <c r="AZ768" s="31"/>
      <c r="BA768" s="31"/>
      <c r="BB768" s="31"/>
      <c r="BC768" s="31"/>
      <c r="BD768" s="31"/>
    </row>
    <row r="769" spans="1:56" ht="12.75" customHeight="1" x14ac:dyDescent="0.2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  <c r="AY769" s="31"/>
      <c r="AZ769" s="31"/>
      <c r="BA769" s="31"/>
      <c r="BB769" s="31"/>
      <c r="BC769" s="31"/>
      <c r="BD769" s="31"/>
    </row>
    <row r="770" spans="1:56" ht="12.75" customHeight="1" x14ac:dyDescent="0.2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  <c r="AY770" s="31"/>
      <c r="AZ770" s="31"/>
      <c r="BA770" s="31"/>
      <c r="BB770" s="31"/>
      <c r="BC770" s="31"/>
      <c r="BD770" s="31"/>
    </row>
    <row r="771" spans="1:56" ht="12.75" customHeight="1" x14ac:dyDescent="0.2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  <c r="AY771" s="31"/>
      <c r="AZ771" s="31"/>
      <c r="BA771" s="31"/>
      <c r="BB771" s="31"/>
      <c r="BC771" s="31"/>
      <c r="BD771" s="31"/>
    </row>
    <row r="772" spans="1:56" ht="12.75" customHeight="1" x14ac:dyDescent="0.2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  <c r="AY772" s="31"/>
      <c r="AZ772" s="31"/>
      <c r="BA772" s="31"/>
      <c r="BB772" s="31"/>
      <c r="BC772" s="31"/>
      <c r="BD772" s="31"/>
    </row>
    <row r="773" spans="1:56" ht="12.75" customHeight="1" x14ac:dyDescent="0.2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  <c r="AY773" s="31"/>
      <c r="AZ773" s="31"/>
      <c r="BA773" s="31"/>
      <c r="BB773" s="31"/>
      <c r="BC773" s="31"/>
      <c r="BD773" s="31"/>
    </row>
    <row r="774" spans="1:56" ht="12.75" customHeight="1" x14ac:dyDescent="0.2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  <c r="AY774" s="31"/>
      <c r="AZ774" s="31"/>
      <c r="BA774" s="31"/>
      <c r="BB774" s="31"/>
      <c r="BC774" s="31"/>
      <c r="BD774" s="31"/>
    </row>
    <row r="775" spans="1:56" ht="12.75" customHeight="1" x14ac:dyDescent="0.2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  <c r="AY775" s="31"/>
      <c r="AZ775" s="31"/>
      <c r="BA775" s="31"/>
      <c r="BB775" s="31"/>
      <c r="BC775" s="31"/>
      <c r="BD775" s="31"/>
    </row>
    <row r="776" spans="1:56" ht="12.75" customHeight="1" x14ac:dyDescent="0.2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  <c r="AY776" s="31"/>
      <c r="AZ776" s="31"/>
      <c r="BA776" s="31"/>
      <c r="BB776" s="31"/>
      <c r="BC776" s="31"/>
      <c r="BD776" s="31"/>
    </row>
    <row r="777" spans="1:56" ht="12.75" customHeight="1" x14ac:dyDescent="0.2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  <c r="AY777" s="31"/>
      <c r="AZ777" s="31"/>
      <c r="BA777" s="31"/>
      <c r="BB777" s="31"/>
      <c r="BC777" s="31"/>
      <c r="BD777" s="31"/>
    </row>
    <row r="778" spans="1:56" ht="12.75" customHeight="1" x14ac:dyDescent="0.2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  <c r="AY778" s="31"/>
      <c r="AZ778" s="31"/>
      <c r="BA778" s="31"/>
      <c r="BB778" s="31"/>
      <c r="BC778" s="31"/>
      <c r="BD778" s="31"/>
    </row>
    <row r="779" spans="1:56" ht="12.75" customHeight="1" x14ac:dyDescent="0.2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  <c r="AY779" s="31"/>
      <c r="AZ779" s="31"/>
      <c r="BA779" s="31"/>
      <c r="BB779" s="31"/>
      <c r="BC779" s="31"/>
      <c r="BD779" s="31"/>
    </row>
    <row r="780" spans="1:56" ht="12.75" customHeight="1" x14ac:dyDescent="0.2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  <c r="AY780" s="31"/>
      <c r="AZ780" s="31"/>
      <c r="BA780" s="31"/>
      <c r="BB780" s="31"/>
      <c r="BC780" s="31"/>
      <c r="BD780" s="31"/>
    </row>
    <row r="781" spans="1:56" ht="12.75" customHeight="1" x14ac:dyDescent="0.2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  <c r="AY781" s="31"/>
      <c r="AZ781" s="31"/>
      <c r="BA781" s="31"/>
      <c r="BB781" s="31"/>
      <c r="BC781" s="31"/>
      <c r="BD781" s="31"/>
    </row>
    <row r="782" spans="1:56" ht="12.75" customHeight="1" x14ac:dyDescent="0.2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  <c r="AY782" s="31"/>
      <c r="AZ782" s="31"/>
      <c r="BA782" s="31"/>
      <c r="BB782" s="31"/>
      <c r="BC782" s="31"/>
      <c r="BD782" s="31"/>
    </row>
    <row r="783" spans="1:56" ht="12.75" customHeight="1" x14ac:dyDescent="0.2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  <c r="AY783" s="31"/>
      <c r="AZ783" s="31"/>
      <c r="BA783" s="31"/>
      <c r="BB783" s="31"/>
      <c r="BC783" s="31"/>
      <c r="BD783" s="31"/>
    </row>
    <row r="784" spans="1:56" ht="12.75" customHeight="1" x14ac:dyDescent="0.2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</row>
    <row r="785" spans="1:56" ht="12.75" customHeight="1" x14ac:dyDescent="0.2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  <c r="AY785" s="31"/>
      <c r="AZ785" s="31"/>
      <c r="BA785" s="31"/>
      <c r="BB785" s="31"/>
      <c r="BC785" s="31"/>
      <c r="BD785" s="31"/>
    </row>
    <row r="786" spans="1:56" ht="12.75" customHeight="1" x14ac:dyDescent="0.2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  <c r="AY786" s="31"/>
      <c r="AZ786" s="31"/>
      <c r="BA786" s="31"/>
      <c r="BB786" s="31"/>
      <c r="BC786" s="31"/>
      <c r="BD786" s="31"/>
    </row>
    <row r="787" spans="1:56" ht="12.75" customHeight="1" x14ac:dyDescent="0.2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  <c r="AY787" s="31"/>
      <c r="AZ787" s="31"/>
      <c r="BA787" s="31"/>
      <c r="BB787" s="31"/>
      <c r="BC787" s="31"/>
      <c r="BD787" s="31"/>
    </row>
    <row r="788" spans="1:56" ht="12.75" customHeight="1" x14ac:dyDescent="0.2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  <c r="AY788" s="31"/>
      <c r="AZ788" s="31"/>
      <c r="BA788" s="31"/>
      <c r="BB788" s="31"/>
      <c r="BC788" s="31"/>
      <c r="BD788" s="31"/>
    </row>
    <row r="789" spans="1:56" ht="12.75" customHeight="1" x14ac:dyDescent="0.2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  <c r="AY789" s="31"/>
      <c r="AZ789" s="31"/>
      <c r="BA789" s="31"/>
      <c r="BB789" s="31"/>
      <c r="BC789" s="31"/>
      <c r="BD789" s="31"/>
    </row>
    <row r="790" spans="1:56" ht="12.75" customHeight="1" x14ac:dyDescent="0.2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  <c r="AY790" s="31"/>
      <c r="AZ790" s="31"/>
      <c r="BA790" s="31"/>
      <c r="BB790" s="31"/>
      <c r="BC790" s="31"/>
      <c r="BD790" s="31"/>
    </row>
    <row r="791" spans="1:56" ht="12.75" customHeight="1" x14ac:dyDescent="0.2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  <c r="AY791" s="31"/>
      <c r="AZ791" s="31"/>
      <c r="BA791" s="31"/>
      <c r="BB791" s="31"/>
      <c r="BC791" s="31"/>
      <c r="BD791" s="31"/>
    </row>
    <row r="792" spans="1:56" ht="12.75" customHeight="1" x14ac:dyDescent="0.2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  <c r="AY792" s="31"/>
      <c r="AZ792" s="31"/>
      <c r="BA792" s="31"/>
      <c r="BB792" s="31"/>
      <c r="BC792" s="31"/>
      <c r="BD792" s="31"/>
    </row>
    <row r="793" spans="1:56" ht="12.75" customHeight="1" x14ac:dyDescent="0.2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  <c r="AY793" s="31"/>
      <c r="AZ793" s="31"/>
      <c r="BA793" s="31"/>
      <c r="BB793" s="31"/>
      <c r="BC793" s="31"/>
      <c r="BD793" s="31"/>
    </row>
    <row r="794" spans="1:56" ht="12.75" customHeight="1" x14ac:dyDescent="0.2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  <c r="AY794" s="31"/>
      <c r="AZ794" s="31"/>
      <c r="BA794" s="31"/>
      <c r="BB794" s="31"/>
      <c r="BC794" s="31"/>
      <c r="BD794" s="31"/>
    </row>
    <row r="795" spans="1:56" ht="12.75" customHeight="1" x14ac:dyDescent="0.2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  <c r="AY795" s="31"/>
      <c r="AZ795" s="31"/>
      <c r="BA795" s="31"/>
      <c r="BB795" s="31"/>
      <c r="BC795" s="31"/>
      <c r="BD795" s="31"/>
    </row>
    <row r="796" spans="1:56" ht="12.75" customHeight="1" x14ac:dyDescent="0.2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  <c r="AY796" s="31"/>
      <c r="AZ796" s="31"/>
      <c r="BA796" s="31"/>
      <c r="BB796" s="31"/>
      <c r="BC796" s="31"/>
      <c r="BD796" s="31"/>
    </row>
    <row r="797" spans="1:56" ht="12.75" customHeight="1" x14ac:dyDescent="0.2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  <c r="AY797" s="31"/>
      <c r="AZ797" s="31"/>
      <c r="BA797" s="31"/>
      <c r="BB797" s="31"/>
      <c r="BC797" s="31"/>
      <c r="BD797" s="31"/>
    </row>
    <row r="798" spans="1:56" ht="12.75" customHeight="1" x14ac:dyDescent="0.2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  <c r="AY798" s="31"/>
      <c r="AZ798" s="31"/>
      <c r="BA798" s="31"/>
      <c r="BB798" s="31"/>
      <c r="BC798" s="31"/>
      <c r="BD798" s="31"/>
    </row>
    <row r="799" spans="1:56" ht="12.75" customHeight="1" x14ac:dyDescent="0.2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  <c r="AY799" s="31"/>
      <c r="AZ799" s="31"/>
      <c r="BA799" s="31"/>
      <c r="BB799" s="31"/>
      <c r="BC799" s="31"/>
      <c r="BD799" s="31"/>
    </row>
    <row r="800" spans="1:56" ht="12.75" customHeight="1" x14ac:dyDescent="0.2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  <c r="AY800" s="31"/>
      <c r="AZ800" s="31"/>
      <c r="BA800" s="31"/>
      <c r="BB800" s="31"/>
      <c r="BC800" s="31"/>
      <c r="BD800" s="31"/>
    </row>
    <row r="801" spans="1:56" ht="12.75" customHeight="1" x14ac:dyDescent="0.2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  <c r="AY801" s="31"/>
      <c r="AZ801" s="31"/>
      <c r="BA801" s="31"/>
      <c r="BB801" s="31"/>
      <c r="BC801" s="31"/>
      <c r="BD801" s="31"/>
    </row>
    <row r="802" spans="1:56" ht="12.75" customHeight="1" x14ac:dyDescent="0.2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31"/>
      <c r="BB802" s="31"/>
      <c r="BC802" s="31"/>
      <c r="BD802" s="31"/>
    </row>
    <row r="803" spans="1:56" ht="12.75" customHeight="1" x14ac:dyDescent="0.2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  <c r="AY803" s="31"/>
      <c r="AZ803" s="31"/>
      <c r="BA803" s="31"/>
      <c r="BB803" s="31"/>
      <c r="BC803" s="31"/>
      <c r="BD803" s="31"/>
    </row>
    <row r="804" spans="1:56" ht="12.75" customHeight="1" x14ac:dyDescent="0.2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  <c r="AY804" s="31"/>
      <c r="AZ804" s="31"/>
      <c r="BA804" s="31"/>
      <c r="BB804" s="31"/>
      <c r="BC804" s="31"/>
      <c r="BD804" s="31"/>
    </row>
    <row r="805" spans="1:56" ht="12.75" customHeight="1" x14ac:dyDescent="0.2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  <c r="AY805" s="31"/>
      <c r="AZ805" s="31"/>
      <c r="BA805" s="31"/>
      <c r="BB805" s="31"/>
      <c r="BC805" s="31"/>
      <c r="BD805" s="31"/>
    </row>
    <row r="806" spans="1:56" ht="12.75" customHeight="1" x14ac:dyDescent="0.2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  <c r="AY806" s="31"/>
      <c r="AZ806" s="31"/>
      <c r="BA806" s="31"/>
      <c r="BB806" s="31"/>
      <c r="BC806" s="31"/>
      <c r="BD806" s="31"/>
    </row>
    <row r="807" spans="1:56" ht="12.75" customHeight="1" x14ac:dyDescent="0.2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  <c r="AY807" s="31"/>
      <c r="AZ807" s="31"/>
      <c r="BA807" s="31"/>
      <c r="BB807" s="31"/>
      <c r="BC807" s="31"/>
      <c r="BD807" s="31"/>
    </row>
    <row r="808" spans="1:56" ht="12.75" customHeight="1" x14ac:dyDescent="0.2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  <c r="AY808" s="31"/>
      <c r="AZ808" s="31"/>
      <c r="BA808" s="31"/>
      <c r="BB808" s="31"/>
      <c r="BC808" s="31"/>
      <c r="BD808" s="31"/>
    </row>
    <row r="809" spans="1:56" ht="12.75" customHeight="1" x14ac:dyDescent="0.2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  <c r="AY809" s="31"/>
      <c r="AZ809" s="31"/>
      <c r="BA809" s="31"/>
      <c r="BB809" s="31"/>
      <c r="BC809" s="31"/>
      <c r="BD809" s="31"/>
    </row>
    <row r="810" spans="1:56" ht="12.75" customHeight="1" x14ac:dyDescent="0.2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  <c r="AY810" s="31"/>
      <c r="AZ810" s="31"/>
      <c r="BA810" s="31"/>
      <c r="BB810" s="31"/>
      <c r="BC810" s="31"/>
      <c r="BD810" s="31"/>
    </row>
    <row r="811" spans="1:56" ht="12.75" customHeight="1" x14ac:dyDescent="0.2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  <c r="AY811" s="31"/>
      <c r="AZ811" s="31"/>
      <c r="BA811" s="31"/>
      <c r="BB811" s="31"/>
      <c r="BC811" s="31"/>
      <c r="BD811" s="31"/>
    </row>
    <row r="812" spans="1:56" ht="12.75" customHeight="1" x14ac:dyDescent="0.2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  <c r="AY812" s="31"/>
      <c r="AZ812" s="31"/>
      <c r="BA812" s="31"/>
      <c r="BB812" s="31"/>
      <c r="BC812" s="31"/>
      <c r="BD812" s="31"/>
    </row>
    <row r="813" spans="1:56" ht="12.75" customHeight="1" x14ac:dyDescent="0.2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  <c r="AY813" s="31"/>
      <c r="AZ813" s="31"/>
      <c r="BA813" s="31"/>
      <c r="BB813" s="31"/>
      <c r="BC813" s="31"/>
      <c r="BD813" s="31"/>
    </row>
    <row r="814" spans="1:56" ht="12.75" customHeight="1" x14ac:dyDescent="0.2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  <c r="AY814" s="31"/>
      <c r="AZ814" s="31"/>
      <c r="BA814" s="31"/>
      <c r="BB814" s="31"/>
      <c r="BC814" s="31"/>
      <c r="BD814" s="31"/>
    </row>
    <row r="815" spans="1:56" ht="12.75" customHeight="1" x14ac:dyDescent="0.2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  <c r="AY815" s="31"/>
      <c r="AZ815" s="31"/>
      <c r="BA815" s="31"/>
      <c r="BB815" s="31"/>
      <c r="BC815" s="31"/>
      <c r="BD815" s="31"/>
    </row>
    <row r="816" spans="1:56" ht="12.75" customHeight="1" x14ac:dyDescent="0.2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  <c r="AY816" s="31"/>
      <c r="AZ816" s="31"/>
      <c r="BA816" s="31"/>
      <c r="BB816" s="31"/>
      <c r="BC816" s="31"/>
      <c r="BD816" s="31"/>
    </row>
    <row r="817" spans="1:56" ht="12.75" customHeight="1" x14ac:dyDescent="0.2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  <c r="AY817" s="31"/>
      <c r="AZ817" s="31"/>
      <c r="BA817" s="31"/>
      <c r="BB817" s="31"/>
      <c r="BC817" s="31"/>
      <c r="BD817" s="31"/>
    </row>
    <row r="818" spans="1:56" ht="12.75" customHeight="1" x14ac:dyDescent="0.2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  <c r="AY818" s="31"/>
      <c r="AZ818" s="31"/>
      <c r="BA818" s="31"/>
      <c r="BB818" s="31"/>
      <c r="BC818" s="31"/>
      <c r="BD818" s="31"/>
    </row>
    <row r="819" spans="1:56" ht="12.75" customHeight="1" x14ac:dyDescent="0.2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  <c r="AY819" s="31"/>
      <c r="AZ819" s="31"/>
      <c r="BA819" s="31"/>
      <c r="BB819" s="31"/>
      <c r="BC819" s="31"/>
      <c r="BD819" s="31"/>
    </row>
    <row r="820" spans="1:56" ht="12.75" customHeight="1" x14ac:dyDescent="0.2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  <c r="AR820" s="31"/>
      <c r="AS820" s="31"/>
      <c r="AT820" s="31"/>
      <c r="AU820" s="31"/>
      <c r="AV820" s="31"/>
      <c r="AW820" s="31"/>
      <c r="AX820" s="31"/>
      <c r="AY820" s="31"/>
      <c r="AZ820" s="31"/>
      <c r="BA820" s="31"/>
      <c r="BB820" s="31"/>
      <c r="BC820" s="31"/>
      <c r="BD820" s="31"/>
    </row>
    <row r="821" spans="1:56" ht="12.75" customHeight="1" x14ac:dyDescent="0.2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  <c r="AR821" s="31"/>
      <c r="AS821" s="31"/>
      <c r="AT821" s="31"/>
      <c r="AU821" s="31"/>
      <c r="AV821" s="31"/>
      <c r="AW821" s="31"/>
      <c r="AX821" s="31"/>
      <c r="AY821" s="31"/>
      <c r="AZ821" s="31"/>
      <c r="BA821" s="31"/>
      <c r="BB821" s="31"/>
      <c r="BC821" s="31"/>
      <c r="BD821" s="31"/>
    </row>
    <row r="822" spans="1:56" ht="12.75" customHeight="1" x14ac:dyDescent="0.2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  <c r="AR822" s="31"/>
      <c r="AS822" s="31"/>
      <c r="AT822" s="31"/>
      <c r="AU822" s="31"/>
      <c r="AV822" s="31"/>
      <c r="AW822" s="31"/>
      <c r="AX822" s="31"/>
      <c r="AY822" s="31"/>
      <c r="AZ822" s="31"/>
      <c r="BA822" s="31"/>
      <c r="BB822" s="31"/>
      <c r="BC822" s="31"/>
      <c r="BD822" s="31"/>
    </row>
    <row r="823" spans="1:56" ht="12.75" customHeight="1" x14ac:dyDescent="0.2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  <c r="AR823" s="31"/>
      <c r="AS823" s="31"/>
      <c r="AT823" s="31"/>
      <c r="AU823" s="31"/>
      <c r="AV823" s="31"/>
      <c r="AW823" s="31"/>
      <c r="AX823" s="31"/>
      <c r="AY823" s="31"/>
      <c r="AZ823" s="31"/>
      <c r="BA823" s="31"/>
      <c r="BB823" s="31"/>
      <c r="BC823" s="31"/>
      <c r="BD823" s="31"/>
    </row>
    <row r="824" spans="1:56" ht="12.75" customHeight="1" x14ac:dyDescent="0.2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  <c r="AR824" s="31"/>
      <c r="AS824" s="31"/>
      <c r="AT824" s="31"/>
      <c r="AU824" s="31"/>
      <c r="AV824" s="31"/>
      <c r="AW824" s="31"/>
      <c r="AX824" s="31"/>
      <c r="AY824" s="31"/>
      <c r="AZ824" s="31"/>
      <c r="BA824" s="31"/>
      <c r="BB824" s="31"/>
      <c r="BC824" s="31"/>
      <c r="BD824" s="31"/>
    </row>
    <row r="825" spans="1:56" ht="12.75" customHeight="1" x14ac:dyDescent="0.2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  <c r="AR825" s="31"/>
      <c r="AS825" s="31"/>
      <c r="AT825" s="31"/>
      <c r="AU825" s="31"/>
      <c r="AV825" s="31"/>
      <c r="AW825" s="31"/>
      <c r="AX825" s="31"/>
      <c r="AY825" s="31"/>
      <c r="AZ825" s="31"/>
      <c r="BA825" s="31"/>
      <c r="BB825" s="31"/>
      <c r="BC825" s="31"/>
      <c r="BD825" s="31"/>
    </row>
    <row r="826" spans="1:56" ht="12.75" customHeight="1" x14ac:dyDescent="0.2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  <c r="AR826" s="31"/>
      <c r="AS826" s="31"/>
      <c r="AT826" s="31"/>
      <c r="AU826" s="31"/>
      <c r="AV826" s="31"/>
      <c r="AW826" s="31"/>
      <c r="AX826" s="31"/>
      <c r="AY826" s="31"/>
      <c r="AZ826" s="31"/>
      <c r="BA826" s="31"/>
      <c r="BB826" s="31"/>
      <c r="BC826" s="31"/>
      <c r="BD826" s="31"/>
    </row>
    <row r="827" spans="1:56" ht="12.75" customHeight="1" x14ac:dyDescent="0.2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  <c r="AR827" s="31"/>
      <c r="AS827" s="31"/>
      <c r="AT827" s="31"/>
      <c r="AU827" s="31"/>
      <c r="AV827" s="31"/>
      <c r="AW827" s="31"/>
      <c r="AX827" s="31"/>
      <c r="AY827" s="31"/>
      <c r="AZ827" s="31"/>
      <c r="BA827" s="31"/>
      <c r="BB827" s="31"/>
      <c r="BC827" s="31"/>
      <c r="BD827" s="31"/>
    </row>
    <row r="828" spans="1:56" ht="12.75" customHeight="1" x14ac:dyDescent="0.2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  <c r="AR828" s="31"/>
      <c r="AS828" s="31"/>
      <c r="AT828" s="31"/>
      <c r="AU828" s="31"/>
      <c r="AV828" s="31"/>
      <c r="AW828" s="31"/>
      <c r="AX828" s="31"/>
      <c r="AY828" s="31"/>
      <c r="AZ828" s="31"/>
      <c r="BA828" s="31"/>
      <c r="BB828" s="31"/>
      <c r="BC828" s="31"/>
      <c r="BD828" s="31"/>
    </row>
    <row r="829" spans="1:56" ht="12.75" customHeight="1" x14ac:dyDescent="0.2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  <c r="AR829" s="31"/>
      <c r="AS829" s="31"/>
      <c r="AT829" s="31"/>
      <c r="AU829" s="31"/>
      <c r="AV829" s="31"/>
      <c r="AW829" s="31"/>
      <c r="AX829" s="31"/>
      <c r="AY829" s="31"/>
      <c r="AZ829" s="31"/>
      <c r="BA829" s="31"/>
      <c r="BB829" s="31"/>
      <c r="BC829" s="31"/>
      <c r="BD829" s="31"/>
    </row>
    <row r="830" spans="1:56" ht="12.75" customHeight="1" x14ac:dyDescent="0.2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  <c r="AR830" s="31"/>
      <c r="AS830" s="31"/>
      <c r="AT830" s="31"/>
      <c r="AU830" s="31"/>
      <c r="AV830" s="31"/>
      <c r="AW830" s="31"/>
      <c r="AX830" s="31"/>
      <c r="AY830" s="31"/>
      <c r="AZ830" s="31"/>
      <c r="BA830" s="31"/>
      <c r="BB830" s="31"/>
      <c r="BC830" s="31"/>
      <c r="BD830" s="31"/>
    </row>
    <row r="831" spans="1:56" ht="12.75" customHeight="1" x14ac:dyDescent="0.2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  <c r="AR831" s="31"/>
      <c r="AS831" s="31"/>
      <c r="AT831" s="31"/>
      <c r="AU831" s="31"/>
      <c r="AV831" s="31"/>
      <c r="AW831" s="31"/>
      <c r="AX831" s="31"/>
      <c r="AY831" s="31"/>
      <c r="AZ831" s="31"/>
      <c r="BA831" s="31"/>
      <c r="BB831" s="31"/>
      <c r="BC831" s="31"/>
      <c r="BD831" s="31"/>
    </row>
    <row r="832" spans="1:56" ht="12.75" customHeight="1" x14ac:dyDescent="0.2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  <c r="AR832" s="31"/>
      <c r="AS832" s="31"/>
      <c r="AT832" s="31"/>
      <c r="AU832" s="31"/>
      <c r="AV832" s="31"/>
      <c r="AW832" s="31"/>
      <c r="AX832" s="31"/>
      <c r="AY832" s="31"/>
      <c r="AZ832" s="31"/>
      <c r="BA832" s="31"/>
      <c r="BB832" s="31"/>
      <c r="BC832" s="31"/>
      <c r="BD832" s="31"/>
    </row>
    <row r="833" spans="1:56" ht="12.75" customHeight="1" x14ac:dyDescent="0.2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  <c r="AR833" s="31"/>
      <c r="AS833" s="31"/>
      <c r="AT833" s="31"/>
      <c r="AU833" s="31"/>
      <c r="AV833" s="31"/>
      <c r="AW833" s="31"/>
      <c r="AX833" s="31"/>
      <c r="AY833" s="31"/>
      <c r="AZ833" s="31"/>
      <c r="BA833" s="31"/>
      <c r="BB833" s="31"/>
      <c r="BC833" s="31"/>
      <c r="BD833" s="31"/>
    </row>
    <row r="834" spans="1:56" ht="12.75" customHeight="1" x14ac:dyDescent="0.2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  <c r="AR834" s="31"/>
      <c r="AS834" s="31"/>
      <c r="AT834" s="31"/>
      <c r="AU834" s="31"/>
      <c r="AV834" s="31"/>
      <c r="AW834" s="31"/>
      <c r="AX834" s="31"/>
      <c r="AY834" s="31"/>
      <c r="AZ834" s="31"/>
      <c r="BA834" s="31"/>
      <c r="BB834" s="31"/>
      <c r="BC834" s="31"/>
      <c r="BD834" s="31"/>
    </row>
    <row r="835" spans="1:56" ht="12.75" customHeight="1" x14ac:dyDescent="0.2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  <c r="AR835" s="31"/>
      <c r="AS835" s="31"/>
      <c r="AT835" s="31"/>
      <c r="AU835" s="31"/>
      <c r="AV835" s="31"/>
      <c r="AW835" s="31"/>
      <c r="AX835" s="31"/>
      <c r="AY835" s="31"/>
      <c r="AZ835" s="31"/>
      <c r="BA835" s="31"/>
      <c r="BB835" s="31"/>
      <c r="BC835" s="31"/>
      <c r="BD835" s="31"/>
    </row>
    <row r="836" spans="1:56" ht="12.75" customHeight="1" x14ac:dyDescent="0.2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  <c r="AR836" s="31"/>
      <c r="AS836" s="31"/>
      <c r="AT836" s="31"/>
      <c r="AU836" s="31"/>
      <c r="AV836" s="31"/>
      <c r="AW836" s="31"/>
      <c r="AX836" s="31"/>
      <c r="AY836" s="31"/>
      <c r="AZ836" s="31"/>
      <c r="BA836" s="31"/>
      <c r="BB836" s="31"/>
      <c r="BC836" s="31"/>
      <c r="BD836" s="31"/>
    </row>
    <row r="837" spans="1:56" ht="12.75" customHeight="1" x14ac:dyDescent="0.2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  <c r="AR837" s="31"/>
      <c r="AS837" s="31"/>
      <c r="AT837" s="31"/>
      <c r="AU837" s="31"/>
      <c r="AV837" s="31"/>
      <c r="AW837" s="31"/>
      <c r="AX837" s="31"/>
      <c r="AY837" s="31"/>
      <c r="AZ837" s="31"/>
      <c r="BA837" s="31"/>
      <c r="BB837" s="31"/>
      <c r="BC837" s="31"/>
      <c r="BD837" s="31"/>
    </row>
    <row r="838" spans="1:56" ht="12.75" customHeight="1" x14ac:dyDescent="0.2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  <c r="AR838" s="31"/>
      <c r="AS838" s="31"/>
      <c r="AT838" s="31"/>
      <c r="AU838" s="31"/>
      <c r="AV838" s="31"/>
      <c r="AW838" s="31"/>
      <c r="AX838" s="31"/>
      <c r="AY838" s="31"/>
      <c r="AZ838" s="31"/>
      <c r="BA838" s="31"/>
      <c r="BB838" s="31"/>
      <c r="BC838" s="31"/>
      <c r="BD838" s="31"/>
    </row>
    <row r="839" spans="1:56" ht="12.75" customHeight="1" x14ac:dyDescent="0.2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  <c r="AR839" s="31"/>
      <c r="AS839" s="31"/>
      <c r="AT839" s="31"/>
      <c r="AU839" s="31"/>
      <c r="AV839" s="31"/>
      <c r="AW839" s="31"/>
      <c r="AX839" s="31"/>
      <c r="AY839" s="31"/>
      <c r="AZ839" s="31"/>
      <c r="BA839" s="31"/>
      <c r="BB839" s="31"/>
      <c r="BC839" s="31"/>
      <c r="BD839" s="31"/>
    </row>
    <row r="840" spans="1:56" ht="12.75" customHeight="1" x14ac:dyDescent="0.2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  <c r="AR840" s="31"/>
      <c r="AS840" s="31"/>
      <c r="AT840" s="31"/>
      <c r="AU840" s="31"/>
      <c r="AV840" s="31"/>
      <c r="AW840" s="31"/>
      <c r="AX840" s="31"/>
      <c r="AY840" s="31"/>
      <c r="AZ840" s="31"/>
      <c r="BA840" s="31"/>
      <c r="BB840" s="31"/>
      <c r="BC840" s="31"/>
      <c r="BD840" s="31"/>
    </row>
    <row r="841" spans="1:56" ht="12.75" customHeight="1" x14ac:dyDescent="0.2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  <c r="AR841" s="31"/>
      <c r="AS841" s="31"/>
      <c r="AT841" s="31"/>
      <c r="AU841" s="31"/>
      <c r="AV841" s="31"/>
      <c r="AW841" s="31"/>
      <c r="AX841" s="31"/>
      <c r="AY841" s="31"/>
      <c r="AZ841" s="31"/>
      <c r="BA841" s="31"/>
      <c r="BB841" s="31"/>
      <c r="BC841" s="31"/>
      <c r="BD841" s="31"/>
    </row>
    <row r="842" spans="1:56" ht="12.75" customHeight="1" x14ac:dyDescent="0.2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  <c r="AR842" s="31"/>
      <c r="AS842" s="31"/>
      <c r="AT842" s="31"/>
      <c r="AU842" s="31"/>
      <c r="AV842" s="31"/>
      <c r="AW842" s="31"/>
      <c r="AX842" s="31"/>
      <c r="AY842" s="31"/>
      <c r="AZ842" s="31"/>
      <c r="BA842" s="31"/>
      <c r="BB842" s="31"/>
      <c r="BC842" s="31"/>
      <c r="BD842" s="31"/>
    </row>
    <row r="843" spans="1:56" ht="12.75" customHeight="1" x14ac:dyDescent="0.2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  <c r="AQ843" s="31"/>
      <c r="AR843" s="31"/>
      <c r="AS843" s="31"/>
      <c r="AT843" s="31"/>
      <c r="AU843" s="31"/>
      <c r="AV843" s="31"/>
      <c r="AW843" s="31"/>
      <c r="AX843" s="31"/>
      <c r="AY843" s="31"/>
      <c r="AZ843" s="31"/>
      <c r="BA843" s="31"/>
      <c r="BB843" s="31"/>
      <c r="BC843" s="31"/>
      <c r="BD843" s="31"/>
    </row>
    <row r="844" spans="1:56" ht="12.75" customHeight="1" x14ac:dyDescent="0.2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  <c r="AQ844" s="31"/>
      <c r="AR844" s="31"/>
      <c r="AS844" s="31"/>
      <c r="AT844" s="31"/>
      <c r="AU844" s="31"/>
      <c r="AV844" s="31"/>
      <c r="AW844" s="31"/>
      <c r="AX844" s="31"/>
      <c r="AY844" s="31"/>
      <c r="AZ844" s="31"/>
      <c r="BA844" s="31"/>
      <c r="BB844" s="31"/>
      <c r="BC844" s="31"/>
      <c r="BD844" s="31"/>
    </row>
    <row r="845" spans="1:56" ht="12.75" customHeight="1" x14ac:dyDescent="0.2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  <c r="AQ845" s="31"/>
      <c r="AR845" s="31"/>
      <c r="AS845" s="31"/>
      <c r="AT845" s="31"/>
      <c r="AU845" s="31"/>
      <c r="AV845" s="31"/>
      <c r="AW845" s="31"/>
      <c r="AX845" s="31"/>
      <c r="AY845" s="31"/>
      <c r="AZ845" s="31"/>
      <c r="BA845" s="31"/>
      <c r="BB845" s="31"/>
      <c r="BC845" s="31"/>
      <c r="BD845" s="31"/>
    </row>
    <row r="846" spans="1:56" ht="12.75" customHeight="1" x14ac:dyDescent="0.2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  <c r="AQ846" s="31"/>
      <c r="AR846" s="31"/>
      <c r="AS846" s="31"/>
      <c r="AT846" s="31"/>
      <c r="AU846" s="31"/>
      <c r="AV846" s="31"/>
      <c r="AW846" s="31"/>
      <c r="AX846" s="31"/>
      <c r="AY846" s="31"/>
      <c r="AZ846" s="31"/>
      <c r="BA846" s="31"/>
      <c r="BB846" s="31"/>
      <c r="BC846" s="31"/>
      <c r="BD846" s="31"/>
    </row>
    <row r="847" spans="1:56" ht="12.75" customHeight="1" x14ac:dyDescent="0.2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  <c r="AQ847" s="31"/>
      <c r="AR847" s="31"/>
      <c r="AS847" s="31"/>
      <c r="AT847" s="31"/>
      <c r="AU847" s="31"/>
      <c r="AV847" s="31"/>
      <c r="AW847" s="31"/>
      <c r="AX847" s="31"/>
      <c r="AY847" s="31"/>
      <c r="AZ847" s="31"/>
      <c r="BA847" s="31"/>
      <c r="BB847" s="31"/>
      <c r="BC847" s="31"/>
      <c r="BD847" s="31"/>
    </row>
    <row r="848" spans="1:56" ht="12.75" customHeight="1" x14ac:dyDescent="0.2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  <c r="AQ848" s="31"/>
      <c r="AR848" s="31"/>
      <c r="AS848" s="31"/>
      <c r="AT848" s="31"/>
      <c r="AU848" s="31"/>
      <c r="AV848" s="31"/>
      <c r="AW848" s="31"/>
      <c r="AX848" s="31"/>
      <c r="AY848" s="31"/>
      <c r="AZ848" s="31"/>
      <c r="BA848" s="31"/>
      <c r="BB848" s="31"/>
      <c r="BC848" s="31"/>
      <c r="BD848" s="31"/>
    </row>
    <row r="849" spans="1:56" ht="12.75" customHeight="1" x14ac:dyDescent="0.2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  <c r="AQ849" s="31"/>
      <c r="AR849" s="31"/>
      <c r="AS849" s="31"/>
      <c r="AT849" s="31"/>
      <c r="AU849" s="31"/>
      <c r="AV849" s="31"/>
      <c r="AW849" s="31"/>
      <c r="AX849" s="31"/>
      <c r="AY849" s="31"/>
      <c r="AZ849" s="31"/>
      <c r="BA849" s="31"/>
      <c r="BB849" s="31"/>
      <c r="BC849" s="31"/>
      <c r="BD849" s="31"/>
    </row>
    <row r="850" spans="1:56" ht="12.75" customHeight="1" x14ac:dyDescent="0.2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  <c r="AQ850" s="31"/>
      <c r="AR850" s="31"/>
      <c r="AS850" s="31"/>
      <c r="AT850" s="31"/>
      <c r="AU850" s="31"/>
      <c r="AV850" s="31"/>
      <c r="AW850" s="31"/>
      <c r="AX850" s="31"/>
      <c r="AY850" s="31"/>
      <c r="AZ850" s="31"/>
      <c r="BA850" s="31"/>
      <c r="BB850" s="31"/>
      <c r="BC850" s="31"/>
      <c r="BD850" s="31"/>
    </row>
    <row r="851" spans="1:56" ht="12.75" customHeight="1" x14ac:dyDescent="0.2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  <c r="AQ851" s="31"/>
      <c r="AR851" s="31"/>
      <c r="AS851" s="31"/>
      <c r="AT851" s="31"/>
      <c r="AU851" s="31"/>
      <c r="AV851" s="31"/>
      <c r="AW851" s="31"/>
      <c r="AX851" s="31"/>
      <c r="AY851" s="31"/>
      <c r="AZ851" s="31"/>
      <c r="BA851" s="31"/>
      <c r="BB851" s="31"/>
      <c r="BC851" s="31"/>
      <c r="BD851" s="31"/>
    </row>
    <row r="852" spans="1:56" ht="12.75" customHeight="1" x14ac:dyDescent="0.2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  <c r="AQ852" s="31"/>
      <c r="AR852" s="31"/>
      <c r="AS852" s="31"/>
      <c r="AT852" s="31"/>
      <c r="AU852" s="31"/>
      <c r="AV852" s="31"/>
      <c r="AW852" s="31"/>
      <c r="AX852" s="31"/>
      <c r="AY852" s="31"/>
      <c r="AZ852" s="31"/>
      <c r="BA852" s="31"/>
      <c r="BB852" s="31"/>
      <c r="BC852" s="31"/>
      <c r="BD852" s="31"/>
    </row>
    <row r="853" spans="1:56" ht="12.75" customHeight="1" x14ac:dyDescent="0.2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  <c r="AQ853" s="31"/>
      <c r="AR853" s="31"/>
      <c r="AS853" s="31"/>
      <c r="AT853" s="31"/>
      <c r="AU853" s="31"/>
      <c r="AV853" s="31"/>
      <c r="AW853" s="31"/>
      <c r="AX853" s="31"/>
      <c r="AY853" s="31"/>
      <c r="AZ853" s="31"/>
      <c r="BA853" s="31"/>
      <c r="BB853" s="31"/>
      <c r="BC853" s="31"/>
      <c r="BD853" s="31"/>
    </row>
    <row r="854" spans="1:56" ht="12.75" customHeight="1" x14ac:dyDescent="0.2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  <c r="AQ854" s="31"/>
      <c r="AR854" s="31"/>
      <c r="AS854" s="31"/>
      <c r="AT854" s="31"/>
      <c r="AU854" s="31"/>
      <c r="AV854" s="31"/>
      <c r="AW854" s="31"/>
      <c r="AX854" s="31"/>
      <c r="AY854" s="31"/>
      <c r="AZ854" s="31"/>
      <c r="BA854" s="31"/>
      <c r="BB854" s="31"/>
      <c r="BC854" s="31"/>
      <c r="BD854" s="31"/>
    </row>
    <row r="855" spans="1:56" ht="12.75" customHeight="1" x14ac:dyDescent="0.2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  <c r="AQ855" s="31"/>
      <c r="AR855" s="31"/>
      <c r="AS855" s="31"/>
      <c r="AT855" s="31"/>
      <c r="AU855" s="31"/>
      <c r="AV855" s="31"/>
      <c r="AW855" s="31"/>
      <c r="AX855" s="31"/>
      <c r="AY855" s="31"/>
      <c r="AZ855" s="31"/>
      <c r="BA855" s="31"/>
      <c r="BB855" s="31"/>
      <c r="BC855" s="31"/>
      <c r="BD855" s="31"/>
    </row>
    <row r="856" spans="1:56" ht="12.75" customHeight="1" x14ac:dyDescent="0.2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  <c r="AQ856" s="31"/>
      <c r="AR856" s="31"/>
      <c r="AS856" s="31"/>
      <c r="AT856" s="31"/>
      <c r="AU856" s="31"/>
      <c r="AV856" s="31"/>
      <c r="AW856" s="31"/>
      <c r="AX856" s="31"/>
      <c r="AY856" s="31"/>
      <c r="AZ856" s="31"/>
      <c r="BA856" s="31"/>
      <c r="BB856" s="31"/>
      <c r="BC856" s="31"/>
      <c r="BD856" s="31"/>
    </row>
    <row r="857" spans="1:56" ht="12.75" customHeight="1" x14ac:dyDescent="0.2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  <c r="AQ857" s="31"/>
      <c r="AR857" s="31"/>
      <c r="AS857" s="31"/>
      <c r="AT857" s="31"/>
      <c r="AU857" s="31"/>
      <c r="AV857" s="31"/>
      <c r="AW857" s="31"/>
      <c r="AX857" s="31"/>
      <c r="AY857" s="31"/>
      <c r="AZ857" s="31"/>
      <c r="BA857" s="31"/>
      <c r="BB857" s="31"/>
      <c r="BC857" s="31"/>
      <c r="BD857" s="31"/>
    </row>
    <row r="858" spans="1:56" ht="12.75" customHeight="1" x14ac:dyDescent="0.2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  <c r="AQ858" s="31"/>
      <c r="AR858" s="31"/>
      <c r="AS858" s="31"/>
      <c r="AT858" s="31"/>
      <c r="AU858" s="31"/>
      <c r="AV858" s="31"/>
      <c r="AW858" s="31"/>
      <c r="AX858" s="31"/>
      <c r="AY858" s="31"/>
      <c r="AZ858" s="31"/>
      <c r="BA858" s="31"/>
      <c r="BB858" s="31"/>
      <c r="BC858" s="31"/>
      <c r="BD858" s="31"/>
    </row>
    <row r="859" spans="1:56" ht="12.75" customHeight="1" x14ac:dyDescent="0.2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  <c r="AQ859" s="31"/>
      <c r="AR859" s="31"/>
      <c r="AS859" s="31"/>
      <c r="AT859" s="31"/>
      <c r="AU859" s="31"/>
      <c r="AV859" s="31"/>
      <c r="AW859" s="31"/>
      <c r="AX859" s="31"/>
      <c r="AY859" s="31"/>
      <c r="AZ859" s="31"/>
      <c r="BA859" s="31"/>
      <c r="BB859" s="31"/>
      <c r="BC859" s="31"/>
      <c r="BD859" s="31"/>
    </row>
    <row r="860" spans="1:56" ht="12.75" customHeight="1" x14ac:dyDescent="0.2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  <c r="AQ860" s="31"/>
      <c r="AR860" s="31"/>
      <c r="AS860" s="31"/>
      <c r="AT860" s="31"/>
      <c r="AU860" s="31"/>
      <c r="AV860" s="31"/>
      <c r="AW860" s="31"/>
      <c r="AX860" s="31"/>
      <c r="AY860" s="31"/>
      <c r="AZ860" s="31"/>
      <c r="BA860" s="31"/>
      <c r="BB860" s="31"/>
      <c r="BC860" s="31"/>
      <c r="BD860" s="31"/>
    </row>
    <row r="861" spans="1:56" ht="12.75" customHeight="1" x14ac:dyDescent="0.2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  <c r="AQ861" s="31"/>
      <c r="AR861" s="31"/>
      <c r="AS861" s="31"/>
      <c r="AT861" s="31"/>
      <c r="AU861" s="31"/>
      <c r="AV861" s="31"/>
      <c r="AW861" s="31"/>
      <c r="AX861" s="31"/>
      <c r="AY861" s="31"/>
      <c r="AZ861" s="31"/>
      <c r="BA861" s="31"/>
      <c r="BB861" s="31"/>
      <c r="BC861" s="31"/>
      <c r="BD861" s="31"/>
    </row>
    <row r="862" spans="1:56" ht="12.75" customHeight="1" x14ac:dyDescent="0.2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  <c r="AQ862" s="31"/>
      <c r="AR862" s="31"/>
      <c r="AS862" s="31"/>
      <c r="AT862" s="31"/>
      <c r="AU862" s="31"/>
      <c r="AV862" s="31"/>
      <c r="AW862" s="31"/>
      <c r="AX862" s="31"/>
      <c r="AY862" s="31"/>
      <c r="AZ862" s="31"/>
      <c r="BA862" s="31"/>
      <c r="BB862" s="31"/>
      <c r="BC862" s="31"/>
      <c r="BD862" s="31"/>
    </row>
    <row r="863" spans="1:56" ht="12.75" customHeight="1" x14ac:dyDescent="0.2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  <c r="AR863" s="31"/>
      <c r="AS863" s="31"/>
      <c r="AT863" s="31"/>
      <c r="AU863" s="31"/>
      <c r="AV863" s="31"/>
      <c r="AW863" s="31"/>
      <c r="AX863" s="31"/>
      <c r="AY863" s="31"/>
      <c r="AZ863" s="31"/>
      <c r="BA863" s="31"/>
      <c r="BB863" s="31"/>
      <c r="BC863" s="31"/>
      <c r="BD863" s="31"/>
    </row>
    <row r="864" spans="1:56" ht="12.75" customHeight="1" x14ac:dyDescent="0.2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  <c r="AQ864" s="31"/>
      <c r="AR864" s="31"/>
      <c r="AS864" s="31"/>
      <c r="AT864" s="31"/>
      <c r="AU864" s="31"/>
      <c r="AV864" s="31"/>
      <c r="AW864" s="31"/>
      <c r="AX864" s="31"/>
      <c r="AY864" s="31"/>
      <c r="AZ864" s="31"/>
      <c r="BA864" s="31"/>
      <c r="BB864" s="31"/>
      <c r="BC864" s="31"/>
      <c r="BD864" s="31"/>
    </row>
    <row r="865" spans="1:56" ht="12.75" customHeight="1" x14ac:dyDescent="0.2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  <c r="AQ865" s="31"/>
      <c r="AR865" s="31"/>
      <c r="AS865" s="31"/>
      <c r="AT865" s="31"/>
      <c r="AU865" s="31"/>
      <c r="AV865" s="31"/>
      <c r="AW865" s="31"/>
      <c r="AX865" s="31"/>
      <c r="AY865" s="31"/>
      <c r="AZ865" s="31"/>
      <c r="BA865" s="31"/>
      <c r="BB865" s="31"/>
      <c r="BC865" s="31"/>
      <c r="BD865" s="31"/>
    </row>
    <row r="866" spans="1:56" ht="12.75" customHeight="1" x14ac:dyDescent="0.2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  <c r="AQ866" s="31"/>
      <c r="AR866" s="31"/>
      <c r="AS866" s="31"/>
      <c r="AT866" s="31"/>
      <c r="AU866" s="31"/>
      <c r="AV866" s="31"/>
      <c r="AW866" s="31"/>
      <c r="AX866" s="31"/>
      <c r="AY866" s="31"/>
      <c r="AZ866" s="31"/>
      <c r="BA866" s="31"/>
      <c r="BB866" s="31"/>
      <c r="BC866" s="31"/>
      <c r="BD866" s="31"/>
    </row>
    <row r="867" spans="1:56" ht="12.75" customHeight="1" x14ac:dyDescent="0.2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  <c r="AQ867" s="31"/>
      <c r="AR867" s="31"/>
      <c r="AS867" s="31"/>
      <c r="AT867" s="31"/>
      <c r="AU867" s="31"/>
      <c r="AV867" s="31"/>
      <c r="AW867" s="31"/>
      <c r="AX867" s="31"/>
      <c r="AY867" s="31"/>
      <c r="AZ867" s="31"/>
      <c r="BA867" s="31"/>
      <c r="BB867" s="31"/>
      <c r="BC867" s="31"/>
      <c r="BD867" s="31"/>
    </row>
    <row r="868" spans="1:56" ht="12.75" customHeight="1" x14ac:dyDescent="0.2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  <c r="AQ868" s="31"/>
      <c r="AR868" s="31"/>
      <c r="AS868" s="31"/>
      <c r="AT868" s="31"/>
      <c r="AU868" s="31"/>
      <c r="AV868" s="31"/>
      <c r="AW868" s="31"/>
      <c r="AX868" s="31"/>
      <c r="AY868" s="31"/>
      <c r="AZ868" s="31"/>
      <c r="BA868" s="31"/>
      <c r="BB868" s="31"/>
      <c r="BC868" s="31"/>
      <c r="BD868" s="31"/>
    </row>
    <row r="869" spans="1:56" ht="12.75" customHeight="1" x14ac:dyDescent="0.2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  <c r="AQ869" s="31"/>
      <c r="AR869" s="31"/>
      <c r="AS869" s="31"/>
      <c r="AT869" s="31"/>
      <c r="AU869" s="31"/>
      <c r="AV869" s="31"/>
      <c r="AW869" s="31"/>
      <c r="AX869" s="31"/>
      <c r="AY869" s="31"/>
      <c r="AZ869" s="31"/>
      <c r="BA869" s="31"/>
      <c r="BB869" s="31"/>
      <c r="BC869" s="31"/>
      <c r="BD869" s="31"/>
    </row>
    <row r="870" spans="1:56" ht="12.75" customHeight="1" x14ac:dyDescent="0.2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  <c r="AR870" s="31"/>
      <c r="AS870" s="31"/>
      <c r="AT870" s="31"/>
      <c r="AU870" s="31"/>
      <c r="AV870" s="31"/>
      <c r="AW870" s="31"/>
      <c r="AX870" s="31"/>
      <c r="AY870" s="31"/>
      <c r="AZ870" s="31"/>
      <c r="BA870" s="31"/>
      <c r="BB870" s="31"/>
      <c r="BC870" s="31"/>
      <c r="BD870" s="31"/>
    </row>
    <row r="871" spans="1:56" ht="12.75" customHeight="1" x14ac:dyDescent="0.2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  <c r="AR871" s="31"/>
      <c r="AS871" s="31"/>
      <c r="AT871" s="31"/>
      <c r="AU871" s="31"/>
      <c r="AV871" s="31"/>
      <c r="AW871" s="31"/>
      <c r="AX871" s="31"/>
      <c r="AY871" s="31"/>
      <c r="AZ871" s="31"/>
      <c r="BA871" s="31"/>
      <c r="BB871" s="31"/>
      <c r="BC871" s="31"/>
      <c r="BD871" s="31"/>
    </row>
    <row r="872" spans="1:56" ht="12.75" customHeight="1" x14ac:dyDescent="0.2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  <c r="AR872" s="31"/>
      <c r="AS872" s="31"/>
      <c r="AT872" s="31"/>
      <c r="AU872" s="31"/>
      <c r="AV872" s="31"/>
      <c r="AW872" s="31"/>
      <c r="AX872" s="31"/>
      <c r="AY872" s="31"/>
      <c r="AZ872" s="31"/>
      <c r="BA872" s="31"/>
      <c r="BB872" s="31"/>
      <c r="BC872" s="31"/>
      <c r="BD872" s="31"/>
    </row>
    <row r="873" spans="1:56" ht="12.75" customHeight="1" x14ac:dyDescent="0.2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  <c r="AR873" s="31"/>
      <c r="AS873" s="31"/>
      <c r="AT873" s="31"/>
      <c r="AU873" s="31"/>
      <c r="AV873" s="31"/>
      <c r="AW873" s="31"/>
      <c r="AX873" s="31"/>
      <c r="AY873" s="31"/>
      <c r="AZ873" s="31"/>
      <c r="BA873" s="31"/>
      <c r="BB873" s="31"/>
      <c r="BC873" s="31"/>
      <c r="BD873" s="31"/>
    </row>
    <row r="874" spans="1:56" ht="12.75" customHeight="1" x14ac:dyDescent="0.2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  <c r="AR874" s="31"/>
      <c r="AS874" s="31"/>
      <c r="AT874" s="31"/>
      <c r="AU874" s="31"/>
      <c r="AV874" s="31"/>
      <c r="AW874" s="31"/>
      <c r="AX874" s="31"/>
      <c r="AY874" s="31"/>
      <c r="AZ874" s="31"/>
      <c r="BA874" s="31"/>
      <c r="BB874" s="31"/>
      <c r="BC874" s="31"/>
      <c r="BD874" s="31"/>
    </row>
    <row r="875" spans="1:56" ht="12.75" customHeight="1" x14ac:dyDescent="0.2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  <c r="AR875" s="31"/>
      <c r="AS875" s="31"/>
      <c r="AT875" s="31"/>
      <c r="AU875" s="31"/>
      <c r="AV875" s="31"/>
      <c r="AW875" s="31"/>
      <c r="AX875" s="31"/>
      <c r="AY875" s="31"/>
      <c r="AZ875" s="31"/>
      <c r="BA875" s="31"/>
      <c r="BB875" s="31"/>
      <c r="BC875" s="31"/>
      <c r="BD875" s="31"/>
    </row>
    <row r="876" spans="1:56" ht="12.75" customHeight="1" x14ac:dyDescent="0.2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</row>
    <row r="877" spans="1:56" ht="12.75" customHeight="1" x14ac:dyDescent="0.2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  <c r="AR877" s="31"/>
      <c r="AS877" s="31"/>
      <c r="AT877" s="31"/>
      <c r="AU877" s="31"/>
      <c r="AV877" s="31"/>
      <c r="AW877" s="31"/>
      <c r="AX877" s="31"/>
      <c r="AY877" s="31"/>
      <c r="AZ877" s="31"/>
      <c r="BA877" s="31"/>
      <c r="BB877" s="31"/>
      <c r="BC877" s="31"/>
      <c r="BD877" s="31"/>
    </row>
    <row r="878" spans="1:56" ht="12.75" customHeight="1" x14ac:dyDescent="0.2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  <c r="AR878" s="31"/>
      <c r="AS878" s="31"/>
      <c r="AT878" s="31"/>
      <c r="AU878" s="31"/>
      <c r="AV878" s="31"/>
      <c r="AW878" s="31"/>
      <c r="AX878" s="31"/>
      <c r="AY878" s="31"/>
      <c r="AZ878" s="31"/>
      <c r="BA878" s="31"/>
      <c r="BB878" s="31"/>
      <c r="BC878" s="31"/>
      <c r="BD878" s="31"/>
    </row>
    <row r="879" spans="1:56" ht="12.75" customHeight="1" x14ac:dyDescent="0.2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  <c r="AR879" s="31"/>
      <c r="AS879" s="31"/>
      <c r="AT879" s="31"/>
      <c r="AU879" s="31"/>
      <c r="AV879" s="31"/>
      <c r="AW879" s="31"/>
      <c r="AX879" s="31"/>
      <c r="AY879" s="31"/>
      <c r="AZ879" s="31"/>
      <c r="BA879" s="31"/>
      <c r="BB879" s="31"/>
      <c r="BC879" s="31"/>
      <c r="BD879" s="31"/>
    </row>
    <row r="880" spans="1:56" ht="12.75" customHeight="1" x14ac:dyDescent="0.2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  <c r="AR880" s="31"/>
      <c r="AS880" s="31"/>
      <c r="AT880" s="31"/>
      <c r="AU880" s="31"/>
      <c r="AV880" s="31"/>
      <c r="AW880" s="31"/>
      <c r="AX880" s="31"/>
      <c r="AY880" s="31"/>
      <c r="AZ880" s="31"/>
      <c r="BA880" s="31"/>
      <c r="BB880" s="31"/>
      <c r="BC880" s="31"/>
      <c r="BD880" s="31"/>
    </row>
    <row r="881" spans="1:56" ht="12.75" customHeight="1" x14ac:dyDescent="0.2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  <c r="AR881" s="31"/>
      <c r="AS881" s="31"/>
      <c r="AT881" s="31"/>
      <c r="AU881" s="31"/>
      <c r="AV881" s="31"/>
      <c r="AW881" s="31"/>
      <c r="AX881" s="31"/>
      <c r="AY881" s="31"/>
      <c r="AZ881" s="31"/>
      <c r="BA881" s="31"/>
      <c r="BB881" s="31"/>
      <c r="BC881" s="31"/>
      <c r="BD881" s="31"/>
    </row>
    <row r="882" spans="1:56" ht="12.75" customHeight="1" x14ac:dyDescent="0.2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  <c r="AQ882" s="31"/>
      <c r="AR882" s="31"/>
      <c r="AS882" s="31"/>
      <c r="AT882" s="31"/>
      <c r="AU882" s="31"/>
      <c r="AV882" s="31"/>
      <c r="AW882" s="31"/>
      <c r="AX882" s="31"/>
      <c r="AY882" s="31"/>
      <c r="AZ882" s="31"/>
      <c r="BA882" s="31"/>
      <c r="BB882" s="31"/>
      <c r="BC882" s="31"/>
      <c r="BD882" s="31"/>
    </row>
    <row r="883" spans="1:56" ht="12.75" customHeight="1" x14ac:dyDescent="0.2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  <c r="AQ883" s="31"/>
      <c r="AR883" s="31"/>
      <c r="AS883" s="31"/>
      <c r="AT883" s="31"/>
      <c r="AU883" s="31"/>
      <c r="AV883" s="31"/>
      <c r="AW883" s="31"/>
      <c r="AX883" s="31"/>
      <c r="AY883" s="31"/>
      <c r="AZ883" s="31"/>
      <c r="BA883" s="31"/>
      <c r="BB883" s="31"/>
      <c r="BC883" s="31"/>
      <c r="BD883" s="31"/>
    </row>
    <row r="884" spans="1:56" ht="12.75" customHeight="1" x14ac:dyDescent="0.2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  <c r="AQ884" s="31"/>
      <c r="AR884" s="31"/>
      <c r="AS884" s="31"/>
      <c r="AT884" s="31"/>
      <c r="AU884" s="31"/>
      <c r="AV884" s="31"/>
      <c r="AW884" s="31"/>
      <c r="AX884" s="31"/>
      <c r="AY884" s="31"/>
      <c r="AZ884" s="31"/>
      <c r="BA884" s="31"/>
      <c r="BB884" s="31"/>
      <c r="BC884" s="31"/>
      <c r="BD884" s="31"/>
    </row>
    <row r="885" spans="1:56" ht="12.75" customHeight="1" x14ac:dyDescent="0.2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  <c r="AQ885" s="31"/>
      <c r="AR885" s="31"/>
      <c r="AS885" s="31"/>
      <c r="AT885" s="31"/>
      <c r="AU885" s="31"/>
      <c r="AV885" s="31"/>
      <c r="AW885" s="31"/>
      <c r="AX885" s="31"/>
      <c r="AY885" s="31"/>
      <c r="AZ885" s="31"/>
      <c r="BA885" s="31"/>
      <c r="BB885" s="31"/>
      <c r="BC885" s="31"/>
      <c r="BD885" s="31"/>
    </row>
    <row r="886" spans="1:56" ht="12.75" customHeight="1" x14ac:dyDescent="0.2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  <c r="AQ886" s="31"/>
      <c r="AR886" s="31"/>
      <c r="AS886" s="31"/>
      <c r="AT886" s="31"/>
      <c r="AU886" s="31"/>
      <c r="AV886" s="31"/>
      <c r="AW886" s="31"/>
      <c r="AX886" s="31"/>
      <c r="AY886" s="31"/>
      <c r="AZ886" s="31"/>
      <c r="BA886" s="31"/>
      <c r="BB886" s="31"/>
      <c r="BC886" s="31"/>
      <c r="BD886" s="31"/>
    </row>
    <row r="887" spans="1:56" ht="12.75" customHeight="1" x14ac:dyDescent="0.2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  <c r="AQ887" s="31"/>
      <c r="AR887" s="31"/>
      <c r="AS887" s="31"/>
      <c r="AT887" s="31"/>
      <c r="AU887" s="31"/>
      <c r="AV887" s="31"/>
      <c r="AW887" s="31"/>
      <c r="AX887" s="31"/>
      <c r="AY887" s="31"/>
      <c r="AZ887" s="31"/>
      <c r="BA887" s="31"/>
      <c r="BB887" s="31"/>
      <c r="BC887" s="31"/>
      <c r="BD887" s="31"/>
    </row>
    <row r="888" spans="1:56" ht="12.75" customHeight="1" x14ac:dyDescent="0.2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  <c r="AQ888" s="31"/>
      <c r="AR888" s="31"/>
      <c r="AS888" s="31"/>
      <c r="AT888" s="31"/>
      <c r="AU888" s="31"/>
      <c r="AV888" s="31"/>
      <c r="AW888" s="31"/>
      <c r="AX888" s="31"/>
      <c r="AY888" s="31"/>
      <c r="AZ888" s="31"/>
      <c r="BA888" s="31"/>
      <c r="BB888" s="31"/>
      <c r="BC888" s="31"/>
      <c r="BD888" s="31"/>
    </row>
    <row r="889" spans="1:56" ht="12.75" customHeight="1" x14ac:dyDescent="0.2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  <c r="AQ889" s="31"/>
      <c r="AR889" s="31"/>
      <c r="AS889" s="31"/>
      <c r="AT889" s="31"/>
      <c r="AU889" s="31"/>
      <c r="AV889" s="31"/>
      <c r="AW889" s="31"/>
      <c r="AX889" s="31"/>
      <c r="AY889" s="31"/>
      <c r="AZ889" s="31"/>
      <c r="BA889" s="31"/>
      <c r="BB889" s="31"/>
      <c r="BC889" s="31"/>
      <c r="BD889" s="31"/>
    </row>
    <row r="890" spans="1:56" ht="12.75" customHeight="1" x14ac:dyDescent="0.2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  <c r="AQ890" s="31"/>
      <c r="AR890" s="31"/>
      <c r="AS890" s="31"/>
      <c r="AT890" s="31"/>
      <c r="AU890" s="31"/>
      <c r="AV890" s="31"/>
      <c r="AW890" s="31"/>
      <c r="AX890" s="31"/>
      <c r="AY890" s="31"/>
      <c r="AZ890" s="31"/>
      <c r="BA890" s="31"/>
      <c r="BB890" s="31"/>
      <c r="BC890" s="31"/>
      <c r="BD890" s="31"/>
    </row>
    <row r="891" spans="1:56" ht="12.75" customHeight="1" x14ac:dyDescent="0.2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  <c r="AR891" s="31"/>
      <c r="AS891" s="31"/>
      <c r="AT891" s="31"/>
      <c r="AU891" s="31"/>
      <c r="AV891" s="31"/>
      <c r="AW891" s="31"/>
      <c r="AX891" s="31"/>
      <c r="AY891" s="31"/>
      <c r="AZ891" s="31"/>
      <c r="BA891" s="31"/>
      <c r="BB891" s="31"/>
      <c r="BC891" s="31"/>
      <c r="BD891" s="31"/>
    </row>
    <row r="892" spans="1:56" ht="12.75" customHeight="1" x14ac:dyDescent="0.2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  <c r="AQ892" s="31"/>
      <c r="AR892" s="31"/>
      <c r="AS892" s="31"/>
      <c r="AT892" s="31"/>
      <c r="AU892" s="31"/>
      <c r="AV892" s="31"/>
      <c r="AW892" s="31"/>
      <c r="AX892" s="31"/>
      <c r="AY892" s="31"/>
      <c r="AZ892" s="31"/>
      <c r="BA892" s="31"/>
      <c r="BB892" s="31"/>
      <c r="BC892" s="31"/>
      <c r="BD892" s="31"/>
    </row>
    <row r="893" spans="1:56" ht="12.75" customHeight="1" x14ac:dyDescent="0.2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  <c r="AQ893" s="31"/>
      <c r="AR893" s="31"/>
      <c r="AS893" s="31"/>
      <c r="AT893" s="31"/>
      <c r="AU893" s="31"/>
      <c r="AV893" s="31"/>
      <c r="AW893" s="31"/>
      <c r="AX893" s="31"/>
      <c r="AY893" s="31"/>
      <c r="AZ893" s="31"/>
      <c r="BA893" s="31"/>
      <c r="BB893" s="31"/>
      <c r="BC893" s="31"/>
      <c r="BD893" s="31"/>
    </row>
    <row r="894" spans="1:56" ht="12.75" customHeight="1" x14ac:dyDescent="0.2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  <c r="AQ894" s="31"/>
      <c r="AR894" s="31"/>
      <c r="AS894" s="31"/>
      <c r="AT894" s="31"/>
      <c r="AU894" s="31"/>
      <c r="AV894" s="31"/>
      <c r="AW894" s="31"/>
      <c r="AX894" s="31"/>
      <c r="AY894" s="31"/>
      <c r="AZ894" s="31"/>
      <c r="BA894" s="31"/>
      <c r="BB894" s="31"/>
      <c r="BC894" s="31"/>
      <c r="BD894" s="31"/>
    </row>
    <row r="895" spans="1:56" ht="12.75" customHeight="1" x14ac:dyDescent="0.2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  <c r="AQ895" s="31"/>
      <c r="AR895" s="31"/>
      <c r="AS895" s="31"/>
      <c r="AT895" s="31"/>
      <c r="AU895" s="31"/>
      <c r="AV895" s="31"/>
      <c r="AW895" s="31"/>
      <c r="AX895" s="31"/>
      <c r="AY895" s="31"/>
      <c r="AZ895" s="31"/>
      <c r="BA895" s="31"/>
      <c r="BB895" s="31"/>
      <c r="BC895" s="31"/>
      <c r="BD895" s="31"/>
    </row>
    <row r="896" spans="1:56" ht="12.75" customHeight="1" x14ac:dyDescent="0.2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  <c r="AQ896" s="31"/>
      <c r="AR896" s="31"/>
      <c r="AS896" s="31"/>
      <c r="AT896" s="31"/>
      <c r="AU896" s="31"/>
      <c r="AV896" s="31"/>
      <c r="AW896" s="31"/>
      <c r="AX896" s="31"/>
      <c r="AY896" s="31"/>
      <c r="AZ896" s="31"/>
      <c r="BA896" s="31"/>
      <c r="BB896" s="31"/>
      <c r="BC896" s="31"/>
      <c r="BD896" s="31"/>
    </row>
    <row r="897" spans="1:56" ht="12.75" customHeight="1" x14ac:dyDescent="0.2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  <c r="AQ897" s="31"/>
      <c r="AR897" s="31"/>
      <c r="AS897" s="31"/>
      <c r="AT897" s="31"/>
      <c r="AU897" s="31"/>
      <c r="AV897" s="31"/>
      <c r="AW897" s="31"/>
      <c r="AX897" s="31"/>
      <c r="AY897" s="31"/>
      <c r="AZ897" s="31"/>
      <c r="BA897" s="31"/>
      <c r="BB897" s="31"/>
      <c r="BC897" s="31"/>
      <c r="BD897" s="31"/>
    </row>
    <row r="898" spans="1:56" ht="12.75" customHeight="1" x14ac:dyDescent="0.2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  <c r="AQ898" s="31"/>
      <c r="AR898" s="31"/>
      <c r="AS898" s="31"/>
      <c r="AT898" s="31"/>
      <c r="AU898" s="31"/>
      <c r="AV898" s="31"/>
      <c r="AW898" s="31"/>
      <c r="AX898" s="31"/>
      <c r="AY898" s="31"/>
      <c r="AZ898" s="31"/>
      <c r="BA898" s="31"/>
      <c r="BB898" s="31"/>
      <c r="BC898" s="31"/>
      <c r="BD898" s="31"/>
    </row>
    <row r="899" spans="1:56" ht="12.75" customHeight="1" x14ac:dyDescent="0.2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  <c r="AQ899" s="31"/>
      <c r="AR899" s="31"/>
      <c r="AS899" s="31"/>
      <c r="AT899" s="31"/>
      <c r="AU899" s="31"/>
      <c r="AV899" s="31"/>
      <c r="AW899" s="31"/>
      <c r="AX899" s="31"/>
      <c r="AY899" s="31"/>
      <c r="AZ899" s="31"/>
      <c r="BA899" s="31"/>
      <c r="BB899" s="31"/>
      <c r="BC899" s="31"/>
      <c r="BD899" s="31"/>
    </row>
    <row r="900" spans="1:56" ht="12.75" customHeight="1" x14ac:dyDescent="0.2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  <c r="AQ900" s="31"/>
      <c r="AR900" s="31"/>
      <c r="AS900" s="31"/>
      <c r="AT900" s="31"/>
      <c r="AU900" s="31"/>
      <c r="AV900" s="31"/>
      <c r="AW900" s="31"/>
      <c r="AX900" s="31"/>
      <c r="AY900" s="31"/>
      <c r="AZ900" s="31"/>
      <c r="BA900" s="31"/>
      <c r="BB900" s="31"/>
      <c r="BC900" s="31"/>
      <c r="BD900" s="31"/>
    </row>
    <row r="901" spans="1:56" ht="12.75" customHeight="1" x14ac:dyDescent="0.2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  <c r="AQ901" s="31"/>
      <c r="AR901" s="31"/>
      <c r="AS901" s="31"/>
      <c r="AT901" s="31"/>
      <c r="AU901" s="31"/>
      <c r="AV901" s="31"/>
      <c r="AW901" s="31"/>
      <c r="AX901" s="31"/>
      <c r="AY901" s="31"/>
      <c r="AZ901" s="31"/>
      <c r="BA901" s="31"/>
      <c r="BB901" s="31"/>
      <c r="BC901" s="31"/>
      <c r="BD901" s="31"/>
    </row>
    <row r="902" spans="1:56" ht="12.75" customHeight="1" x14ac:dyDescent="0.2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  <c r="AQ902" s="31"/>
      <c r="AR902" s="31"/>
      <c r="AS902" s="31"/>
      <c r="AT902" s="31"/>
      <c r="AU902" s="31"/>
      <c r="AV902" s="31"/>
      <c r="AW902" s="31"/>
      <c r="AX902" s="31"/>
      <c r="AY902" s="31"/>
      <c r="AZ902" s="31"/>
      <c r="BA902" s="31"/>
      <c r="BB902" s="31"/>
      <c r="BC902" s="31"/>
      <c r="BD902" s="31"/>
    </row>
    <row r="903" spans="1:56" ht="12.75" customHeight="1" x14ac:dyDescent="0.2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  <c r="AQ903" s="31"/>
      <c r="AR903" s="31"/>
      <c r="AS903" s="31"/>
      <c r="AT903" s="31"/>
      <c r="AU903" s="31"/>
      <c r="AV903" s="31"/>
      <c r="AW903" s="31"/>
      <c r="AX903" s="31"/>
      <c r="AY903" s="31"/>
      <c r="AZ903" s="31"/>
      <c r="BA903" s="31"/>
      <c r="BB903" s="31"/>
      <c r="BC903" s="31"/>
      <c r="BD903" s="31"/>
    </row>
    <row r="904" spans="1:56" ht="12.75" customHeight="1" x14ac:dyDescent="0.2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  <c r="AQ904" s="31"/>
      <c r="AR904" s="31"/>
      <c r="AS904" s="31"/>
      <c r="AT904" s="31"/>
      <c r="AU904" s="31"/>
      <c r="AV904" s="31"/>
      <c r="AW904" s="31"/>
      <c r="AX904" s="31"/>
      <c r="AY904" s="31"/>
      <c r="AZ904" s="31"/>
      <c r="BA904" s="31"/>
      <c r="BB904" s="31"/>
      <c r="BC904" s="31"/>
      <c r="BD904" s="31"/>
    </row>
    <row r="905" spans="1:56" ht="12.75" customHeight="1" x14ac:dyDescent="0.2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  <c r="AQ905" s="31"/>
      <c r="AR905" s="31"/>
      <c r="AS905" s="31"/>
      <c r="AT905" s="31"/>
      <c r="AU905" s="31"/>
      <c r="AV905" s="31"/>
      <c r="AW905" s="31"/>
      <c r="AX905" s="31"/>
      <c r="AY905" s="31"/>
      <c r="AZ905" s="31"/>
      <c r="BA905" s="31"/>
      <c r="BB905" s="31"/>
      <c r="BC905" s="31"/>
      <c r="BD905" s="31"/>
    </row>
    <row r="906" spans="1:56" ht="12.75" customHeight="1" x14ac:dyDescent="0.2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  <c r="AQ906" s="31"/>
      <c r="AR906" s="31"/>
      <c r="AS906" s="31"/>
      <c r="AT906" s="31"/>
      <c r="AU906" s="31"/>
      <c r="AV906" s="31"/>
      <c r="AW906" s="31"/>
      <c r="AX906" s="31"/>
      <c r="AY906" s="31"/>
      <c r="AZ906" s="31"/>
      <c r="BA906" s="31"/>
      <c r="BB906" s="31"/>
      <c r="BC906" s="31"/>
      <c r="BD906" s="31"/>
    </row>
    <row r="907" spans="1:56" ht="12.75" customHeight="1" x14ac:dyDescent="0.2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  <c r="AQ907" s="31"/>
      <c r="AR907" s="31"/>
      <c r="AS907" s="31"/>
      <c r="AT907" s="31"/>
      <c r="AU907" s="31"/>
      <c r="AV907" s="31"/>
      <c r="AW907" s="31"/>
      <c r="AX907" s="31"/>
      <c r="AY907" s="31"/>
      <c r="AZ907" s="31"/>
      <c r="BA907" s="31"/>
      <c r="BB907" s="31"/>
      <c r="BC907" s="31"/>
      <c r="BD907" s="31"/>
    </row>
    <row r="908" spans="1:56" ht="12.75" customHeight="1" x14ac:dyDescent="0.2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  <c r="AQ908" s="31"/>
      <c r="AR908" s="31"/>
      <c r="AS908" s="31"/>
      <c r="AT908" s="31"/>
      <c r="AU908" s="31"/>
      <c r="AV908" s="31"/>
      <c r="AW908" s="31"/>
      <c r="AX908" s="31"/>
      <c r="AY908" s="31"/>
      <c r="AZ908" s="31"/>
      <c r="BA908" s="31"/>
      <c r="BB908" s="31"/>
      <c r="BC908" s="31"/>
      <c r="BD908" s="31"/>
    </row>
    <row r="909" spans="1:56" ht="12.75" customHeight="1" x14ac:dyDescent="0.2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  <c r="AR909" s="31"/>
      <c r="AS909" s="31"/>
      <c r="AT909" s="31"/>
      <c r="AU909" s="31"/>
      <c r="AV909" s="31"/>
      <c r="AW909" s="31"/>
      <c r="AX909" s="31"/>
      <c r="AY909" s="31"/>
      <c r="AZ909" s="31"/>
      <c r="BA909" s="31"/>
      <c r="BB909" s="31"/>
      <c r="BC909" s="31"/>
      <c r="BD909" s="31"/>
    </row>
    <row r="910" spans="1:56" ht="12.75" customHeight="1" x14ac:dyDescent="0.2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  <c r="AQ910" s="31"/>
      <c r="AR910" s="31"/>
      <c r="AS910" s="31"/>
      <c r="AT910" s="31"/>
      <c r="AU910" s="31"/>
      <c r="AV910" s="31"/>
      <c r="AW910" s="31"/>
      <c r="AX910" s="31"/>
      <c r="AY910" s="31"/>
      <c r="AZ910" s="31"/>
      <c r="BA910" s="31"/>
      <c r="BB910" s="31"/>
      <c r="BC910" s="31"/>
      <c r="BD910" s="31"/>
    </row>
    <row r="911" spans="1:56" ht="12.75" customHeight="1" x14ac:dyDescent="0.2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  <c r="AQ911" s="31"/>
      <c r="AR911" s="31"/>
      <c r="AS911" s="31"/>
      <c r="AT911" s="31"/>
      <c r="AU911" s="31"/>
      <c r="AV911" s="31"/>
      <c r="AW911" s="31"/>
      <c r="AX911" s="31"/>
      <c r="AY911" s="31"/>
      <c r="AZ911" s="31"/>
      <c r="BA911" s="31"/>
      <c r="BB911" s="31"/>
      <c r="BC911" s="31"/>
      <c r="BD911" s="31"/>
    </row>
    <row r="912" spans="1:56" ht="12.75" customHeight="1" x14ac:dyDescent="0.2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  <c r="AQ912" s="31"/>
      <c r="AR912" s="31"/>
      <c r="AS912" s="31"/>
      <c r="AT912" s="31"/>
      <c r="AU912" s="31"/>
      <c r="AV912" s="31"/>
      <c r="AW912" s="31"/>
      <c r="AX912" s="31"/>
      <c r="AY912" s="31"/>
      <c r="AZ912" s="31"/>
      <c r="BA912" s="31"/>
      <c r="BB912" s="31"/>
      <c r="BC912" s="31"/>
      <c r="BD912" s="31"/>
    </row>
    <row r="913" spans="1:56" ht="12.75" customHeight="1" x14ac:dyDescent="0.2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  <c r="AQ913" s="31"/>
      <c r="AR913" s="31"/>
      <c r="AS913" s="31"/>
      <c r="AT913" s="31"/>
      <c r="AU913" s="31"/>
      <c r="AV913" s="31"/>
      <c r="AW913" s="31"/>
      <c r="AX913" s="31"/>
      <c r="AY913" s="31"/>
      <c r="AZ913" s="31"/>
      <c r="BA913" s="31"/>
      <c r="BB913" s="31"/>
      <c r="BC913" s="31"/>
      <c r="BD913" s="31"/>
    </row>
    <row r="914" spans="1:56" ht="12.75" customHeight="1" x14ac:dyDescent="0.2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  <c r="AQ914" s="31"/>
      <c r="AR914" s="31"/>
      <c r="AS914" s="31"/>
      <c r="AT914" s="31"/>
      <c r="AU914" s="31"/>
      <c r="AV914" s="31"/>
      <c r="AW914" s="31"/>
      <c r="AX914" s="31"/>
      <c r="AY914" s="31"/>
      <c r="AZ914" s="31"/>
      <c r="BA914" s="31"/>
      <c r="BB914" s="31"/>
      <c r="BC914" s="31"/>
      <c r="BD914" s="31"/>
    </row>
    <row r="915" spans="1:56" ht="12.75" customHeight="1" x14ac:dyDescent="0.2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  <c r="AQ915" s="31"/>
      <c r="AR915" s="31"/>
      <c r="AS915" s="31"/>
      <c r="AT915" s="31"/>
      <c r="AU915" s="31"/>
      <c r="AV915" s="31"/>
      <c r="AW915" s="31"/>
      <c r="AX915" s="31"/>
      <c r="AY915" s="31"/>
      <c r="AZ915" s="31"/>
      <c r="BA915" s="31"/>
      <c r="BB915" s="31"/>
      <c r="BC915" s="31"/>
      <c r="BD915" s="31"/>
    </row>
    <row r="916" spans="1:56" ht="12.75" customHeight="1" x14ac:dyDescent="0.2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  <c r="AQ916" s="31"/>
      <c r="AR916" s="31"/>
      <c r="AS916" s="31"/>
      <c r="AT916" s="31"/>
      <c r="AU916" s="31"/>
      <c r="AV916" s="31"/>
      <c r="AW916" s="31"/>
      <c r="AX916" s="31"/>
      <c r="AY916" s="31"/>
      <c r="AZ916" s="31"/>
      <c r="BA916" s="31"/>
      <c r="BB916" s="31"/>
      <c r="BC916" s="31"/>
      <c r="BD916" s="31"/>
    </row>
    <row r="917" spans="1:56" ht="12.75" customHeight="1" x14ac:dyDescent="0.2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  <c r="AQ917" s="31"/>
      <c r="AR917" s="31"/>
      <c r="AS917" s="31"/>
      <c r="AT917" s="31"/>
      <c r="AU917" s="31"/>
      <c r="AV917" s="31"/>
      <c r="AW917" s="31"/>
      <c r="AX917" s="31"/>
      <c r="AY917" s="31"/>
      <c r="AZ917" s="31"/>
      <c r="BA917" s="31"/>
      <c r="BB917" s="31"/>
      <c r="BC917" s="31"/>
      <c r="BD917" s="31"/>
    </row>
    <row r="918" spans="1:56" ht="12.75" customHeight="1" x14ac:dyDescent="0.2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  <c r="AR918" s="31"/>
      <c r="AS918" s="31"/>
      <c r="AT918" s="31"/>
      <c r="AU918" s="31"/>
      <c r="AV918" s="31"/>
      <c r="AW918" s="31"/>
      <c r="AX918" s="31"/>
      <c r="AY918" s="31"/>
      <c r="AZ918" s="31"/>
      <c r="BA918" s="31"/>
      <c r="BB918" s="31"/>
      <c r="BC918" s="31"/>
      <c r="BD918" s="31"/>
    </row>
    <row r="919" spans="1:56" ht="12.75" customHeight="1" x14ac:dyDescent="0.2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  <c r="AQ919" s="31"/>
      <c r="AR919" s="31"/>
      <c r="AS919" s="31"/>
      <c r="AT919" s="31"/>
      <c r="AU919" s="31"/>
      <c r="AV919" s="31"/>
      <c r="AW919" s="31"/>
      <c r="AX919" s="31"/>
      <c r="AY919" s="31"/>
      <c r="AZ919" s="31"/>
      <c r="BA919" s="31"/>
      <c r="BB919" s="31"/>
      <c r="BC919" s="31"/>
      <c r="BD919" s="31"/>
    </row>
    <row r="920" spans="1:56" ht="12.75" customHeight="1" x14ac:dyDescent="0.2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  <c r="AQ920" s="31"/>
      <c r="AR920" s="31"/>
      <c r="AS920" s="31"/>
      <c r="AT920" s="31"/>
      <c r="AU920" s="31"/>
      <c r="AV920" s="31"/>
      <c r="AW920" s="31"/>
      <c r="AX920" s="31"/>
      <c r="AY920" s="31"/>
      <c r="AZ920" s="31"/>
      <c r="BA920" s="31"/>
      <c r="BB920" s="31"/>
      <c r="BC920" s="31"/>
      <c r="BD920" s="31"/>
    </row>
    <row r="921" spans="1:56" ht="12.75" customHeight="1" x14ac:dyDescent="0.2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  <c r="AQ921" s="31"/>
      <c r="AR921" s="31"/>
      <c r="AS921" s="31"/>
      <c r="AT921" s="31"/>
      <c r="AU921" s="31"/>
      <c r="AV921" s="31"/>
      <c r="AW921" s="31"/>
      <c r="AX921" s="31"/>
      <c r="AY921" s="31"/>
      <c r="AZ921" s="31"/>
      <c r="BA921" s="31"/>
      <c r="BB921" s="31"/>
      <c r="BC921" s="31"/>
      <c r="BD921" s="31"/>
    </row>
    <row r="922" spans="1:56" ht="12.75" customHeight="1" x14ac:dyDescent="0.2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  <c r="AQ922" s="31"/>
      <c r="AR922" s="31"/>
      <c r="AS922" s="31"/>
      <c r="AT922" s="31"/>
      <c r="AU922" s="31"/>
      <c r="AV922" s="31"/>
      <c r="AW922" s="31"/>
      <c r="AX922" s="31"/>
      <c r="AY922" s="31"/>
      <c r="AZ922" s="31"/>
      <c r="BA922" s="31"/>
      <c r="BB922" s="31"/>
      <c r="BC922" s="31"/>
      <c r="BD922" s="31"/>
    </row>
    <row r="923" spans="1:56" ht="12.75" customHeight="1" x14ac:dyDescent="0.2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  <c r="AQ923" s="31"/>
      <c r="AR923" s="31"/>
      <c r="AS923" s="31"/>
      <c r="AT923" s="31"/>
      <c r="AU923" s="31"/>
      <c r="AV923" s="31"/>
      <c r="AW923" s="31"/>
      <c r="AX923" s="31"/>
      <c r="AY923" s="31"/>
      <c r="AZ923" s="31"/>
      <c r="BA923" s="31"/>
      <c r="BB923" s="31"/>
      <c r="BC923" s="31"/>
      <c r="BD923" s="31"/>
    </row>
    <row r="924" spans="1:56" ht="12.75" customHeight="1" x14ac:dyDescent="0.2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  <c r="AQ924" s="31"/>
      <c r="AR924" s="31"/>
      <c r="AS924" s="31"/>
      <c r="AT924" s="31"/>
      <c r="AU924" s="31"/>
      <c r="AV924" s="31"/>
      <c r="AW924" s="31"/>
      <c r="AX924" s="31"/>
      <c r="AY924" s="31"/>
      <c r="AZ924" s="31"/>
      <c r="BA924" s="31"/>
      <c r="BB924" s="31"/>
      <c r="BC924" s="31"/>
      <c r="BD924" s="31"/>
    </row>
    <row r="925" spans="1:56" ht="12.75" customHeight="1" x14ac:dyDescent="0.2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  <c r="AQ925" s="31"/>
      <c r="AR925" s="31"/>
      <c r="AS925" s="31"/>
      <c r="AT925" s="31"/>
      <c r="AU925" s="31"/>
      <c r="AV925" s="31"/>
      <c r="AW925" s="31"/>
      <c r="AX925" s="31"/>
      <c r="AY925" s="31"/>
      <c r="AZ925" s="31"/>
      <c r="BA925" s="31"/>
      <c r="BB925" s="31"/>
      <c r="BC925" s="31"/>
      <c r="BD925" s="31"/>
    </row>
    <row r="926" spans="1:56" ht="12.75" customHeight="1" x14ac:dyDescent="0.2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  <c r="AQ926" s="31"/>
      <c r="AR926" s="31"/>
      <c r="AS926" s="31"/>
      <c r="AT926" s="31"/>
      <c r="AU926" s="31"/>
      <c r="AV926" s="31"/>
      <c r="AW926" s="31"/>
      <c r="AX926" s="31"/>
      <c r="AY926" s="31"/>
      <c r="AZ926" s="31"/>
      <c r="BA926" s="31"/>
      <c r="BB926" s="31"/>
      <c r="BC926" s="31"/>
      <c r="BD926" s="31"/>
    </row>
    <row r="927" spans="1:56" ht="12.75" customHeight="1" x14ac:dyDescent="0.2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  <c r="AQ927" s="31"/>
      <c r="AR927" s="31"/>
      <c r="AS927" s="31"/>
      <c r="AT927" s="31"/>
      <c r="AU927" s="31"/>
      <c r="AV927" s="31"/>
      <c r="AW927" s="31"/>
      <c r="AX927" s="31"/>
      <c r="AY927" s="31"/>
      <c r="AZ927" s="31"/>
      <c r="BA927" s="31"/>
      <c r="BB927" s="31"/>
      <c r="BC927" s="31"/>
      <c r="BD927" s="31"/>
    </row>
    <row r="928" spans="1:56" ht="12.75" customHeight="1" x14ac:dyDescent="0.2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  <c r="AQ928" s="31"/>
      <c r="AR928" s="31"/>
      <c r="AS928" s="31"/>
      <c r="AT928" s="31"/>
      <c r="AU928" s="31"/>
      <c r="AV928" s="31"/>
      <c r="AW928" s="31"/>
      <c r="AX928" s="31"/>
      <c r="AY928" s="31"/>
      <c r="AZ928" s="31"/>
      <c r="BA928" s="31"/>
      <c r="BB928" s="31"/>
      <c r="BC928" s="31"/>
      <c r="BD928" s="31"/>
    </row>
    <row r="929" spans="1:56" ht="12.75" customHeight="1" x14ac:dyDescent="0.2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  <c r="AQ929" s="31"/>
      <c r="AR929" s="31"/>
      <c r="AS929" s="31"/>
      <c r="AT929" s="31"/>
      <c r="AU929" s="31"/>
      <c r="AV929" s="31"/>
      <c r="AW929" s="31"/>
      <c r="AX929" s="31"/>
      <c r="AY929" s="31"/>
      <c r="AZ929" s="31"/>
      <c r="BA929" s="31"/>
      <c r="BB929" s="31"/>
      <c r="BC929" s="31"/>
      <c r="BD929" s="31"/>
    </row>
    <row r="930" spans="1:56" ht="12.75" customHeight="1" x14ac:dyDescent="0.2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  <c r="AQ930" s="31"/>
      <c r="AR930" s="31"/>
      <c r="AS930" s="31"/>
      <c r="AT930" s="31"/>
      <c r="AU930" s="31"/>
      <c r="AV930" s="31"/>
      <c r="AW930" s="31"/>
      <c r="AX930" s="31"/>
      <c r="AY930" s="31"/>
      <c r="AZ930" s="31"/>
      <c r="BA930" s="31"/>
      <c r="BB930" s="31"/>
      <c r="BC930" s="31"/>
      <c r="BD930" s="31"/>
    </row>
    <row r="931" spans="1:56" ht="12.75" customHeight="1" x14ac:dyDescent="0.2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  <c r="AQ931" s="31"/>
      <c r="AR931" s="31"/>
      <c r="AS931" s="31"/>
      <c r="AT931" s="31"/>
      <c r="AU931" s="31"/>
      <c r="AV931" s="31"/>
      <c r="AW931" s="31"/>
      <c r="AX931" s="31"/>
      <c r="AY931" s="31"/>
      <c r="AZ931" s="31"/>
      <c r="BA931" s="31"/>
      <c r="BB931" s="31"/>
      <c r="BC931" s="31"/>
      <c r="BD931" s="31"/>
    </row>
    <row r="932" spans="1:56" ht="12.75" customHeight="1" x14ac:dyDescent="0.2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  <c r="AQ932" s="31"/>
      <c r="AR932" s="31"/>
      <c r="AS932" s="31"/>
      <c r="AT932" s="31"/>
      <c r="AU932" s="31"/>
      <c r="AV932" s="31"/>
      <c r="AW932" s="31"/>
      <c r="AX932" s="31"/>
      <c r="AY932" s="31"/>
      <c r="AZ932" s="31"/>
      <c r="BA932" s="31"/>
      <c r="BB932" s="31"/>
      <c r="BC932" s="31"/>
      <c r="BD932" s="31"/>
    </row>
    <row r="933" spans="1:56" ht="12.75" customHeight="1" x14ac:dyDescent="0.2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  <c r="AQ933" s="31"/>
      <c r="AR933" s="31"/>
      <c r="AS933" s="31"/>
      <c r="AT933" s="31"/>
      <c r="AU933" s="31"/>
      <c r="AV933" s="31"/>
      <c r="AW933" s="31"/>
      <c r="AX933" s="31"/>
      <c r="AY933" s="31"/>
      <c r="AZ933" s="31"/>
      <c r="BA933" s="31"/>
      <c r="BB933" s="31"/>
      <c r="BC933" s="31"/>
      <c r="BD933" s="31"/>
    </row>
    <row r="934" spans="1:56" ht="12.75" customHeight="1" x14ac:dyDescent="0.2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  <c r="AQ934" s="31"/>
      <c r="AR934" s="31"/>
      <c r="AS934" s="31"/>
      <c r="AT934" s="31"/>
      <c r="AU934" s="31"/>
      <c r="AV934" s="31"/>
      <c r="AW934" s="31"/>
      <c r="AX934" s="31"/>
      <c r="AY934" s="31"/>
      <c r="AZ934" s="31"/>
      <c r="BA934" s="31"/>
      <c r="BB934" s="31"/>
      <c r="BC934" s="31"/>
      <c r="BD934" s="31"/>
    </row>
    <row r="935" spans="1:56" ht="12.75" customHeight="1" x14ac:dyDescent="0.2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  <c r="AQ935" s="31"/>
      <c r="AR935" s="31"/>
      <c r="AS935" s="31"/>
      <c r="AT935" s="31"/>
      <c r="AU935" s="31"/>
      <c r="AV935" s="31"/>
      <c r="AW935" s="31"/>
      <c r="AX935" s="31"/>
      <c r="AY935" s="31"/>
      <c r="AZ935" s="31"/>
      <c r="BA935" s="31"/>
      <c r="BB935" s="31"/>
      <c r="BC935" s="31"/>
      <c r="BD935" s="31"/>
    </row>
    <row r="936" spans="1:56" ht="12.75" customHeight="1" x14ac:dyDescent="0.2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  <c r="AQ936" s="31"/>
      <c r="AR936" s="31"/>
      <c r="AS936" s="31"/>
      <c r="AT936" s="31"/>
      <c r="AU936" s="31"/>
      <c r="AV936" s="31"/>
      <c r="AW936" s="31"/>
      <c r="AX936" s="31"/>
      <c r="AY936" s="31"/>
      <c r="AZ936" s="31"/>
      <c r="BA936" s="31"/>
      <c r="BB936" s="31"/>
      <c r="BC936" s="31"/>
      <c r="BD936" s="31"/>
    </row>
    <row r="937" spans="1:56" ht="12.75" customHeight="1" x14ac:dyDescent="0.2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  <c r="AQ937" s="31"/>
      <c r="AR937" s="31"/>
      <c r="AS937" s="31"/>
      <c r="AT937" s="31"/>
      <c r="AU937" s="31"/>
      <c r="AV937" s="31"/>
      <c r="AW937" s="31"/>
      <c r="AX937" s="31"/>
      <c r="AY937" s="31"/>
      <c r="AZ937" s="31"/>
      <c r="BA937" s="31"/>
      <c r="BB937" s="31"/>
      <c r="BC937" s="31"/>
      <c r="BD937" s="31"/>
    </row>
    <row r="938" spans="1:56" ht="12.75" customHeight="1" x14ac:dyDescent="0.2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  <c r="AQ938" s="31"/>
      <c r="AR938" s="31"/>
      <c r="AS938" s="31"/>
      <c r="AT938" s="31"/>
      <c r="AU938" s="31"/>
      <c r="AV938" s="31"/>
      <c r="AW938" s="31"/>
      <c r="AX938" s="31"/>
      <c r="AY938" s="31"/>
      <c r="AZ938" s="31"/>
      <c r="BA938" s="31"/>
      <c r="BB938" s="31"/>
      <c r="BC938" s="31"/>
      <c r="BD938" s="31"/>
    </row>
    <row r="939" spans="1:56" ht="12.75" customHeight="1" x14ac:dyDescent="0.2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  <c r="AQ939" s="31"/>
      <c r="AR939" s="31"/>
      <c r="AS939" s="31"/>
      <c r="AT939" s="31"/>
      <c r="AU939" s="31"/>
      <c r="AV939" s="31"/>
      <c r="AW939" s="31"/>
      <c r="AX939" s="31"/>
      <c r="AY939" s="31"/>
      <c r="AZ939" s="31"/>
      <c r="BA939" s="31"/>
      <c r="BB939" s="31"/>
      <c r="BC939" s="31"/>
      <c r="BD939" s="31"/>
    </row>
    <row r="940" spans="1:56" ht="12.75" customHeight="1" x14ac:dyDescent="0.2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  <c r="AQ940" s="31"/>
      <c r="AR940" s="31"/>
      <c r="AS940" s="31"/>
      <c r="AT940" s="31"/>
      <c r="AU940" s="31"/>
      <c r="AV940" s="31"/>
      <c r="AW940" s="31"/>
      <c r="AX940" s="31"/>
      <c r="AY940" s="31"/>
      <c r="AZ940" s="31"/>
      <c r="BA940" s="31"/>
      <c r="BB940" s="31"/>
      <c r="BC940" s="31"/>
      <c r="BD940" s="31"/>
    </row>
    <row r="941" spans="1:56" ht="12.75" customHeight="1" x14ac:dyDescent="0.2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  <c r="AQ941" s="31"/>
      <c r="AR941" s="31"/>
      <c r="AS941" s="31"/>
      <c r="AT941" s="31"/>
      <c r="AU941" s="31"/>
      <c r="AV941" s="31"/>
      <c r="AW941" s="31"/>
      <c r="AX941" s="31"/>
      <c r="AY941" s="31"/>
      <c r="AZ941" s="31"/>
      <c r="BA941" s="31"/>
      <c r="BB941" s="31"/>
      <c r="BC941" s="31"/>
      <c r="BD941" s="31"/>
    </row>
    <row r="942" spans="1:56" ht="12.75" customHeight="1" x14ac:dyDescent="0.2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  <c r="AQ942" s="31"/>
      <c r="AR942" s="31"/>
      <c r="AS942" s="31"/>
      <c r="AT942" s="31"/>
      <c r="AU942" s="31"/>
      <c r="AV942" s="31"/>
      <c r="AW942" s="31"/>
      <c r="AX942" s="31"/>
      <c r="AY942" s="31"/>
      <c r="AZ942" s="31"/>
      <c r="BA942" s="31"/>
      <c r="BB942" s="31"/>
      <c r="BC942" s="31"/>
      <c r="BD942" s="31"/>
    </row>
    <row r="943" spans="1:56" ht="12.75" customHeight="1" x14ac:dyDescent="0.2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  <c r="AQ943" s="31"/>
      <c r="AR943" s="31"/>
      <c r="AS943" s="31"/>
      <c r="AT943" s="31"/>
      <c r="AU943" s="31"/>
      <c r="AV943" s="31"/>
      <c r="AW943" s="31"/>
      <c r="AX943" s="31"/>
      <c r="AY943" s="31"/>
      <c r="AZ943" s="31"/>
      <c r="BA943" s="31"/>
      <c r="BB943" s="31"/>
      <c r="BC943" s="31"/>
      <c r="BD943" s="31"/>
    </row>
    <row r="944" spans="1:56" ht="12.75" customHeight="1" x14ac:dyDescent="0.2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  <c r="AQ944" s="31"/>
      <c r="AR944" s="31"/>
      <c r="AS944" s="31"/>
      <c r="AT944" s="31"/>
      <c r="AU944" s="31"/>
      <c r="AV944" s="31"/>
      <c r="AW944" s="31"/>
      <c r="AX944" s="31"/>
      <c r="AY944" s="31"/>
      <c r="AZ944" s="31"/>
      <c r="BA944" s="31"/>
      <c r="BB944" s="31"/>
      <c r="BC944" s="31"/>
      <c r="BD944" s="31"/>
    </row>
    <row r="945" spans="1:56" ht="12.75" customHeight="1" x14ac:dyDescent="0.2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  <c r="AQ945" s="31"/>
      <c r="AR945" s="31"/>
      <c r="AS945" s="31"/>
      <c r="AT945" s="31"/>
      <c r="AU945" s="31"/>
      <c r="AV945" s="31"/>
      <c r="AW945" s="31"/>
      <c r="AX945" s="31"/>
      <c r="AY945" s="31"/>
      <c r="AZ945" s="31"/>
      <c r="BA945" s="31"/>
      <c r="BB945" s="31"/>
      <c r="BC945" s="31"/>
      <c r="BD945" s="31"/>
    </row>
    <row r="946" spans="1:56" ht="12.75" customHeight="1" x14ac:dyDescent="0.2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  <c r="AQ946" s="31"/>
      <c r="AR946" s="31"/>
      <c r="AS946" s="31"/>
      <c r="AT946" s="31"/>
      <c r="AU946" s="31"/>
      <c r="AV946" s="31"/>
      <c r="AW946" s="31"/>
      <c r="AX946" s="31"/>
      <c r="AY946" s="31"/>
      <c r="AZ946" s="31"/>
      <c r="BA946" s="31"/>
      <c r="BB946" s="31"/>
      <c r="BC946" s="31"/>
      <c r="BD946" s="31"/>
    </row>
    <row r="947" spans="1:56" ht="12.75" customHeight="1" x14ac:dyDescent="0.2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  <c r="AQ947" s="31"/>
      <c r="AR947" s="31"/>
      <c r="AS947" s="31"/>
      <c r="AT947" s="31"/>
      <c r="AU947" s="31"/>
      <c r="AV947" s="31"/>
      <c r="AW947" s="31"/>
      <c r="AX947" s="31"/>
      <c r="AY947" s="31"/>
      <c r="AZ947" s="31"/>
      <c r="BA947" s="31"/>
      <c r="BB947" s="31"/>
      <c r="BC947" s="31"/>
      <c r="BD947" s="31"/>
    </row>
    <row r="948" spans="1:56" ht="12.75" customHeight="1" x14ac:dyDescent="0.2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  <c r="AQ948" s="31"/>
      <c r="AR948" s="31"/>
      <c r="AS948" s="31"/>
      <c r="AT948" s="31"/>
      <c r="AU948" s="31"/>
      <c r="AV948" s="31"/>
      <c r="AW948" s="31"/>
      <c r="AX948" s="31"/>
      <c r="AY948" s="31"/>
      <c r="AZ948" s="31"/>
      <c r="BA948" s="31"/>
      <c r="BB948" s="31"/>
      <c r="BC948" s="31"/>
      <c r="BD948" s="31"/>
    </row>
    <row r="949" spans="1:56" ht="12.75" customHeight="1" x14ac:dyDescent="0.2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  <c r="AQ949" s="31"/>
      <c r="AR949" s="31"/>
      <c r="AS949" s="31"/>
      <c r="AT949" s="31"/>
      <c r="AU949" s="31"/>
      <c r="AV949" s="31"/>
      <c r="AW949" s="31"/>
      <c r="AX949" s="31"/>
      <c r="AY949" s="31"/>
      <c r="AZ949" s="31"/>
      <c r="BA949" s="31"/>
      <c r="BB949" s="31"/>
      <c r="BC949" s="31"/>
      <c r="BD949" s="31"/>
    </row>
    <row r="950" spans="1:56" ht="12.75" customHeight="1" x14ac:dyDescent="0.2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  <c r="AQ950" s="31"/>
      <c r="AR950" s="31"/>
      <c r="AS950" s="31"/>
      <c r="AT950" s="31"/>
      <c r="AU950" s="31"/>
      <c r="AV950" s="31"/>
      <c r="AW950" s="31"/>
      <c r="AX950" s="31"/>
      <c r="AY950" s="31"/>
      <c r="AZ950" s="31"/>
      <c r="BA950" s="31"/>
      <c r="BB950" s="31"/>
      <c r="BC950" s="31"/>
      <c r="BD950" s="31"/>
    </row>
    <row r="951" spans="1:56" ht="12.75" customHeight="1" x14ac:dyDescent="0.2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  <c r="AQ951" s="31"/>
      <c r="AR951" s="31"/>
      <c r="AS951" s="31"/>
      <c r="AT951" s="31"/>
      <c r="AU951" s="31"/>
      <c r="AV951" s="31"/>
      <c r="AW951" s="31"/>
      <c r="AX951" s="31"/>
      <c r="AY951" s="31"/>
      <c r="AZ951" s="31"/>
      <c r="BA951" s="31"/>
      <c r="BB951" s="31"/>
      <c r="BC951" s="31"/>
      <c r="BD951" s="31"/>
    </row>
    <row r="952" spans="1:56" ht="12.75" customHeight="1" x14ac:dyDescent="0.2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  <c r="AQ952" s="31"/>
      <c r="AR952" s="31"/>
      <c r="AS952" s="31"/>
      <c r="AT952" s="31"/>
      <c r="AU952" s="31"/>
      <c r="AV952" s="31"/>
      <c r="AW952" s="31"/>
      <c r="AX952" s="31"/>
      <c r="AY952" s="31"/>
      <c r="AZ952" s="31"/>
      <c r="BA952" s="31"/>
      <c r="BB952" s="31"/>
      <c r="BC952" s="31"/>
      <c r="BD952" s="31"/>
    </row>
    <row r="953" spans="1:56" ht="12.75" customHeight="1" x14ac:dyDescent="0.2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  <c r="AQ953" s="31"/>
      <c r="AR953" s="31"/>
      <c r="AS953" s="31"/>
      <c r="AT953" s="31"/>
      <c r="AU953" s="31"/>
      <c r="AV953" s="31"/>
      <c r="AW953" s="31"/>
      <c r="AX953" s="31"/>
      <c r="AY953" s="31"/>
      <c r="AZ953" s="31"/>
      <c r="BA953" s="31"/>
      <c r="BB953" s="31"/>
      <c r="BC953" s="31"/>
      <c r="BD953" s="31"/>
    </row>
    <row r="954" spans="1:56" ht="12.75" customHeight="1" x14ac:dyDescent="0.2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  <c r="AQ954" s="31"/>
      <c r="AR954" s="31"/>
      <c r="AS954" s="31"/>
      <c r="AT954" s="31"/>
      <c r="AU954" s="31"/>
      <c r="AV954" s="31"/>
      <c r="AW954" s="31"/>
      <c r="AX954" s="31"/>
      <c r="AY954" s="31"/>
      <c r="AZ954" s="31"/>
      <c r="BA954" s="31"/>
      <c r="BB954" s="31"/>
      <c r="BC954" s="31"/>
      <c r="BD954" s="31"/>
    </row>
    <row r="955" spans="1:56" ht="12.75" customHeight="1" x14ac:dyDescent="0.2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  <c r="AQ955" s="31"/>
      <c r="AR955" s="31"/>
      <c r="AS955" s="31"/>
      <c r="AT955" s="31"/>
      <c r="AU955" s="31"/>
      <c r="AV955" s="31"/>
      <c r="AW955" s="31"/>
      <c r="AX955" s="31"/>
      <c r="AY955" s="31"/>
      <c r="AZ955" s="31"/>
      <c r="BA955" s="31"/>
      <c r="BB955" s="31"/>
      <c r="BC955" s="31"/>
      <c r="BD955" s="31"/>
    </row>
    <row r="956" spans="1:56" ht="12.75" customHeight="1" x14ac:dyDescent="0.2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  <c r="AQ956" s="31"/>
      <c r="AR956" s="31"/>
      <c r="AS956" s="31"/>
      <c r="AT956" s="31"/>
      <c r="AU956" s="31"/>
      <c r="AV956" s="31"/>
      <c r="AW956" s="31"/>
      <c r="AX956" s="31"/>
      <c r="AY956" s="31"/>
      <c r="AZ956" s="31"/>
      <c r="BA956" s="31"/>
      <c r="BB956" s="31"/>
      <c r="BC956" s="31"/>
      <c r="BD956" s="31"/>
    </row>
    <row r="957" spans="1:56" ht="12.75" customHeight="1" x14ac:dyDescent="0.2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  <c r="AQ957" s="31"/>
      <c r="AR957" s="31"/>
      <c r="AS957" s="31"/>
      <c r="AT957" s="31"/>
      <c r="AU957" s="31"/>
      <c r="AV957" s="31"/>
      <c r="AW957" s="31"/>
      <c r="AX957" s="31"/>
      <c r="AY957" s="31"/>
      <c r="AZ957" s="31"/>
      <c r="BA957" s="31"/>
      <c r="BB957" s="31"/>
      <c r="BC957" s="31"/>
      <c r="BD957" s="31"/>
    </row>
    <row r="958" spans="1:56" ht="12.75" customHeight="1" x14ac:dyDescent="0.2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  <c r="AQ958" s="31"/>
      <c r="AR958" s="31"/>
      <c r="AS958" s="31"/>
      <c r="AT958" s="31"/>
      <c r="AU958" s="31"/>
      <c r="AV958" s="31"/>
      <c r="AW958" s="31"/>
      <c r="AX958" s="31"/>
      <c r="AY958" s="31"/>
      <c r="AZ958" s="31"/>
      <c r="BA958" s="31"/>
      <c r="BB958" s="31"/>
      <c r="BC958" s="31"/>
      <c r="BD958" s="31"/>
    </row>
    <row r="959" spans="1:56" ht="12.75" customHeight="1" x14ac:dyDescent="0.2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  <c r="AQ959" s="31"/>
      <c r="AR959" s="31"/>
      <c r="AS959" s="31"/>
      <c r="AT959" s="31"/>
      <c r="AU959" s="31"/>
      <c r="AV959" s="31"/>
      <c r="AW959" s="31"/>
      <c r="AX959" s="31"/>
      <c r="AY959" s="31"/>
      <c r="AZ959" s="31"/>
      <c r="BA959" s="31"/>
      <c r="BB959" s="31"/>
      <c r="BC959" s="31"/>
      <c r="BD959" s="31"/>
    </row>
    <row r="960" spans="1:56" ht="12.75" customHeight="1" x14ac:dyDescent="0.2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  <c r="AQ960" s="31"/>
      <c r="AR960" s="31"/>
      <c r="AS960" s="31"/>
      <c r="AT960" s="31"/>
      <c r="AU960" s="31"/>
      <c r="AV960" s="31"/>
      <c r="AW960" s="31"/>
      <c r="AX960" s="31"/>
      <c r="AY960" s="31"/>
      <c r="AZ960" s="31"/>
      <c r="BA960" s="31"/>
      <c r="BB960" s="31"/>
      <c r="BC960" s="31"/>
      <c r="BD960" s="31"/>
    </row>
    <row r="961" spans="1:56" ht="12.75" customHeight="1" x14ac:dyDescent="0.2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  <c r="AQ961" s="31"/>
      <c r="AR961" s="31"/>
      <c r="AS961" s="31"/>
      <c r="AT961" s="31"/>
      <c r="AU961" s="31"/>
      <c r="AV961" s="31"/>
      <c r="AW961" s="31"/>
      <c r="AX961" s="31"/>
      <c r="AY961" s="31"/>
      <c r="AZ961" s="31"/>
      <c r="BA961" s="31"/>
      <c r="BB961" s="31"/>
      <c r="BC961" s="31"/>
      <c r="BD961" s="31"/>
    </row>
    <row r="962" spans="1:56" ht="12.75" customHeight="1" x14ac:dyDescent="0.2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  <c r="AQ962" s="31"/>
      <c r="AR962" s="31"/>
      <c r="AS962" s="31"/>
      <c r="AT962" s="31"/>
      <c r="AU962" s="31"/>
      <c r="AV962" s="31"/>
      <c r="AW962" s="31"/>
      <c r="AX962" s="31"/>
      <c r="AY962" s="31"/>
      <c r="AZ962" s="31"/>
      <c r="BA962" s="31"/>
      <c r="BB962" s="31"/>
      <c r="BC962" s="31"/>
      <c r="BD962" s="31"/>
    </row>
    <row r="963" spans="1:56" ht="12.75" customHeight="1" x14ac:dyDescent="0.2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  <c r="AQ963" s="31"/>
      <c r="AR963" s="31"/>
      <c r="AS963" s="31"/>
      <c r="AT963" s="31"/>
      <c r="AU963" s="31"/>
      <c r="AV963" s="31"/>
      <c r="AW963" s="31"/>
      <c r="AX963" s="31"/>
      <c r="AY963" s="31"/>
      <c r="AZ963" s="31"/>
      <c r="BA963" s="31"/>
      <c r="BB963" s="31"/>
      <c r="BC963" s="31"/>
      <c r="BD963" s="31"/>
    </row>
    <row r="964" spans="1:56" ht="12.75" customHeight="1" x14ac:dyDescent="0.2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  <c r="AQ964" s="31"/>
      <c r="AR964" s="31"/>
      <c r="AS964" s="31"/>
      <c r="AT964" s="31"/>
      <c r="AU964" s="31"/>
      <c r="AV964" s="31"/>
      <c r="AW964" s="31"/>
      <c r="AX964" s="31"/>
      <c r="AY964" s="31"/>
      <c r="AZ964" s="31"/>
      <c r="BA964" s="31"/>
      <c r="BB964" s="31"/>
      <c r="BC964" s="31"/>
      <c r="BD964" s="31"/>
    </row>
    <row r="965" spans="1:56" ht="12.75" customHeight="1" x14ac:dyDescent="0.2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  <c r="AQ965" s="31"/>
      <c r="AR965" s="31"/>
      <c r="AS965" s="31"/>
      <c r="AT965" s="31"/>
      <c r="AU965" s="31"/>
      <c r="AV965" s="31"/>
      <c r="AW965" s="31"/>
      <c r="AX965" s="31"/>
      <c r="AY965" s="31"/>
      <c r="AZ965" s="31"/>
      <c r="BA965" s="31"/>
      <c r="BB965" s="31"/>
      <c r="BC965" s="31"/>
      <c r="BD965" s="31"/>
    </row>
    <row r="966" spans="1:56" ht="12.75" customHeight="1" x14ac:dyDescent="0.2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  <c r="AQ966" s="31"/>
      <c r="AR966" s="31"/>
      <c r="AS966" s="31"/>
      <c r="AT966" s="31"/>
      <c r="AU966" s="31"/>
      <c r="AV966" s="31"/>
      <c r="AW966" s="31"/>
      <c r="AX966" s="31"/>
      <c r="AY966" s="31"/>
      <c r="AZ966" s="31"/>
      <c r="BA966" s="31"/>
      <c r="BB966" s="31"/>
      <c r="BC966" s="31"/>
      <c r="BD966" s="31"/>
    </row>
    <row r="967" spans="1:56" ht="12.75" customHeight="1" x14ac:dyDescent="0.2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  <c r="AQ967" s="31"/>
      <c r="AR967" s="31"/>
      <c r="AS967" s="31"/>
      <c r="AT967" s="31"/>
      <c r="AU967" s="31"/>
      <c r="AV967" s="31"/>
      <c r="AW967" s="31"/>
      <c r="AX967" s="31"/>
      <c r="AY967" s="31"/>
      <c r="AZ967" s="31"/>
      <c r="BA967" s="31"/>
      <c r="BB967" s="31"/>
      <c r="BC967" s="31"/>
      <c r="BD967" s="31"/>
    </row>
    <row r="968" spans="1:56" ht="12.75" customHeight="1" x14ac:dyDescent="0.2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  <c r="AO968" s="31"/>
      <c r="AP968" s="31"/>
      <c r="AQ968" s="31"/>
      <c r="AR968" s="31"/>
      <c r="AS968" s="31"/>
      <c r="AT968" s="31"/>
      <c r="AU968" s="31"/>
      <c r="AV968" s="31"/>
      <c r="AW968" s="31"/>
      <c r="AX968" s="31"/>
      <c r="AY968" s="31"/>
      <c r="AZ968" s="31"/>
      <c r="BA968" s="31"/>
      <c r="BB968" s="31"/>
      <c r="BC968" s="31"/>
      <c r="BD968" s="31"/>
    </row>
    <row r="969" spans="1:56" ht="12.75" customHeight="1" x14ac:dyDescent="0.2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  <c r="AO969" s="31"/>
      <c r="AP969" s="31"/>
      <c r="AQ969" s="31"/>
      <c r="AR969" s="31"/>
      <c r="AS969" s="31"/>
      <c r="AT969" s="31"/>
      <c r="AU969" s="31"/>
      <c r="AV969" s="31"/>
      <c r="AW969" s="31"/>
      <c r="AX969" s="31"/>
      <c r="AY969" s="31"/>
      <c r="AZ969" s="31"/>
      <c r="BA969" s="31"/>
      <c r="BB969" s="31"/>
      <c r="BC969" s="31"/>
      <c r="BD969" s="31"/>
    </row>
    <row r="970" spans="1:56" ht="12.75" customHeight="1" x14ac:dyDescent="0.2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  <c r="AO970" s="31"/>
      <c r="AP970" s="31"/>
      <c r="AQ970" s="31"/>
      <c r="AR970" s="31"/>
      <c r="AS970" s="31"/>
      <c r="AT970" s="31"/>
      <c r="AU970" s="31"/>
      <c r="AV970" s="31"/>
      <c r="AW970" s="31"/>
      <c r="AX970" s="31"/>
      <c r="AY970" s="31"/>
      <c r="AZ970" s="31"/>
      <c r="BA970" s="31"/>
      <c r="BB970" s="31"/>
      <c r="BC970" s="31"/>
      <c r="BD970" s="31"/>
    </row>
    <row r="971" spans="1:56" ht="12.75" customHeight="1" x14ac:dyDescent="0.2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  <c r="AO971" s="31"/>
      <c r="AP971" s="31"/>
      <c r="AQ971" s="31"/>
      <c r="AR971" s="31"/>
      <c r="AS971" s="31"/>
      <c r="AT971" s="31"/>
      <c r="AU971" s="31"/>
      <c r="AV971" s="31"/>
      <c r="AW971" s="31"/>
      <c r="AX971" s="31"/>
      <c r="AY971" s="31"/>
      <c r="AZ971" s="31"/>
      <c r="BA971" s="31"/>
      <c r="BB971" s="31"/>
      <c r="BC971" s="31"/>
      <c r="BD971" s="31"/>
    </row>
    <row r="972" spans="1:56" ht="12.75" customHeight="1" x14ac:dyDescent="0.2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  <c r="AO972" s="31"/>
      <c r="AP972" s="31"/>
      <c r="AQ972" s="31"/>
      <c r="AR972" s="31"/>
      <c r="AS972" s="31"/>
      <c r="AT972" s="31"/>
      <c r="AU972" s="31"/>
      <c r="AV972" s="31"/>
      <c r="AW972" s="31"/>
      <c r="AX972" s="31"/>
      <c r="AY972" s="31"/>
      <c r="AZ972" s="31"/>
      <c r="BA972" s="31"/>
      <c r="BB972" s="31"/>
      <c r="BC972" s="31"/>
      <c r="BD972" s="31"/>
    </row>
    <row r="973" spans="1:56" ht="12.75" customHeight="1" x14ac:dyDescent="0.2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  <c r="AO973" s="31"/>
      <c r="AP973" s="31"/>
      <c r="AQ973" s="31"/>
      <c r="AR973" s="31"/>
      <c r="AS973" s="31"/>
      <c r="AT973" s="31"/>
      <c r="AU973" s="31"/>
      <c r="AV973" s="31"/>
      <c r="AW973" s="31"/>
      <c r="AX973" s="31"/>
      <c r="AY973" s="31"/>
      <c r="AZ973" s="31"/>
      <c r="BA973" s="31"/>
      <c r="BB973" s="31"/>
      <c r="BC973" s="31"/>
      <c r="BD973" s="31"/>
    </row>
    <row r="974" spans="1:56" ht="12.75" customHeight="1" x14ac:dyDescent="0.2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  <c r="AO974" s="31"/>
      <c r="AP974" s="31"/>
      <c r="AQ974" s="31"/>
      <c r="AR974" s="31"/>
      <c r="AS974" s="31"/>
      <c r="AT974" s="31"/>
      <c r="AU974" s="31"/>
      <c r="AV974" s="31"/>
      <c r="AW974" s="31"/>
      <c r="AX974" s="31"/>
      <c r="AY974" s="31"/>
      <c r="AZ974" s="31"/>
      <c r="BA974" s="31"/>
      <c r="BB974" s="31"/>
      <c r="BC974" s="31"/>
      <c r="BD974" s="31"/>
    </row>
    <row r="975" spans="1:56" ht="12.75" customHeight="1" x14ac:dyDescent="0.2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  <c r="AO975" s="31"/>
      <c r="AP975" s="31"/>
      <c r="AQ975" s="31"/>
      <c r="AR975" s="31"/>
      <c r="AS975" s="31"/>
      <c r="AT975" s="31"/>
      <c r="AU975" s="31"/>
      <c r="AV975" s="31"/>
      <c r="AW975" s="31"/>
      <c r="AX975" s="31"/>
      <c r="AY975" s="31"/>
      <c r="AZ975" s="31"/>
      <c r="BA975" s="31"/>
      <c r="BB975" s="31"/>
      <c r="BC975" s="31"/>
      <c r="BD975" s="31"/>
    </row>
    <row r="976" spans="1:56" ht="12.75" customHeight="1" x14ac:dyDescent="0.2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  <c r="AO976" s="31"/>
      <c r="AP976" s="31"/>
      <c r="AQ976" s="31"/>
      <c r="AR976" s="31"/>
      <c r="AS976" s="31"/>
      <c r="AT976" s="31"/>
      <c r="AU976" s="31"/>
      <c r="AV976" s="31"/>
      <c r="AW976" s="31"/>
      <c r="AX976" s="31"/>
      <c r="AY976" s="31"/>
      <c r="AZ976" s="31"/>
      <c r="BA976" s="31"/>
      <c r="BB976" s="31"/>
      <c r="BC976" s="31"/>
      <c r="BD976" s="31"/>
    </row>
    <row r="977" spans="1:56" ht="12.75" customHeight="1" x14ac:dyDescent="0.2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  <c r="AO977" s="31"/>
      <c r="AP977" s="31"/>
      <c r="AQ977" s="31"/>
      <c r="AR977" s="31"/>
      <c r="AS977" s="31"/>
      <c r="AT977" s="31"/>
      <c r="AU977" s="31"/>
      <c r="AV977" s="31"/>
      <c r="AW977" s="31"/>
      <c r="AX977" s="31"/>
      <c r="AY977" s="31"/>
      <c r="AZ977" s="31"/>
      <c r="BA977" s="31"/>
      <c r="BB977" s="31"/>
      <c r="BC977" s="31"/>
      <c r="BD977" s="31"/>
    </row>
    <row r="978" spans="1:56" ht="12.75" customHeight="1" x14ac:dyDescent="0.2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  <c r="AO978" s="31"/>
      <c r="AP978" s="31"/>
      <c r="AQ978" s="31"/>
      <c r="AR978" s="31"/>
      <c r="AS978" s="31"/>
      <c r="AT978" s="31"/>
      <c r="AU978" s="31"/>
      <c r="AV978" s="31"/>
      <c r="AW978" s="31"/>
      <c r="AX978" s="31"/>
      <c r="AY978" s="31"/>
      <c r="AZ978" s="31"/>
      <c r="BA978" s="31"/>
      <c r="BB978" s="31"/>
      <c r="BC978" s="31"/>
      <c r="BD978" s="31"/>
    </row>
    <row r="979" spans="1:56" ht="12.75" customHeight="1" x14ac:dyDescent="0.2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  <c r="AO979" s="31"/>
      <c r="AP979" s="31"/>
      <c r="AQ979" s="31"/>
      <c r="AR979" s="31"/>
      <c r="AS979" s="31"/>
      <c r="AT979" s="31"/>
      <c r="AU979" s="31"/>
      <c r="AV979" s="31"/>
      <c r="AW979" s="31"/>
      <c r="AX979" s="31"/>
      <c r="AY979" s="31"/>
      <c r="AZ979" s="31"/>
      <c r="BA979" s="31"/>
      <c r="BB979" s="31"/>
      <c r="BC979" s="31"/>
      <c r="BD979" s="31"/>
    </row>
    <row r="980" spans="1:56" ht="12.75" customHeight="1" x14ac:dyDescent="0.2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  <c r="AO980" s="31"/>
      <c r="AP980" s="31"/>
      <c r="AQ980" s="31"/>
      <c r="AR980" s="31"/>
      <c r="AS980" s="31"/>
      <c r="AT980" s="31"/>
      <c r="AU980" s="31"/>
      <c r="AV980" s="31"/>
      <c r="AW980" s="31"/>
      <c r="AX980" s="31"/>
      <c r="AY980" s="31"/>
      <c r="AZ980" s="31"/>
      <c r="BA980" s="31"/>
      <c r="BB980" s="31"/>
      <c r="BC980" s="31"/>
      <c r="BD980" s="31"/>
    </row>
    <row r="981" spans="1:56" ht="12.75" customHeight="1" x14ac:dyDescent="0.2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  <c r="AO981" s="31"/>
      <c r="AP981" s="31"/>
      <c r="AQ981" s="31"/>
      <c r="AR981" s="31"/>
      <c r="AS981" s="31"/>
      <c r="AT981" s="31"/>
      <c r="AU981" s="31"/>
      <c r="AV981" s="31"/>
      <c r="AW981" s="31"/>
      <c r="AX981" s="31"/>
      <c r="AY981" s="31"/>
      <c r="AZ981" s="31"/>
      <c r="BA981" s="31"/>
      <c r="BB981" s="31"/>
      <c r="BC981" s="31"/>
      <c r="BD981" s="31"/>
    </row>
    <row r="982" spans="1:56" ht="12.75" customHeight="1" x14ac:dyDescent="0.2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  <c r="AO982" s="31"/>
      <c r="AP982" s="31"/>
      <c r="AQ982" s="31"/>
      <c r="AR982" s="31"/>
      <c r="AS982" s="31"/>
      <c r="AT982" s="31"/>
      <c r="AU982" s="31"/>
      <c r="AV982" s="31"/>
      <c r="AW982" s="31"/>
      <c r="AX982" s="31"/>
      <c r="AY982" s="31"/>
      <c r="AZ982" s="31"/>
      <c r="BA982" s="31"/>
      <c r="BB982" s="31"/>
      <c r="BC982" s="31"/>
      <c r="BD982" s="31"/>
    </row>
    <row r="983" spans="1:56" ht="12.75" customHeight="1" x14ac:dyDescent="0.2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  <c r="AO983" s="31"/>
      <c r="AP983" s="31"/>
      <c r="AQ983" s="31"/>
      <c r="AR983" s="31"/>
      <c r="AS983" s="31"/>
      <c r="AT983" s="31"/>
      <c r="AU983" s="31"/>
      <c r="AV983" s="31"/>
      <c r="AW983" s="31"/>
      <c r="AX983" s="31"/>
      <c r="AY983" s="31"/>
      <c r="AZ983" s="31"/>
      <c r="BA983" s="31"/>
      <c r="BB983" s="31"/>
      <c r="BC983" s="31"/>
      <c r="BD983" s="31"/>
    </row>
    <row r="984" spans="1:56" ht="12.75" customHeight="1" x14ac:dyDescent="0.2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  <c r="AO984" s="31"/>
      <c r="AP984" s="31"/>
      <c r="AQ984" s="31"/>
      <c r="AR984" s="31"/>
      <c r="AS984" s="31"/>
      <c r="AT984" s="31"/>
      <c r="AU984" s="31"/>
      <c r="AV984" s="31"/>
      <c r="AW984" s="31"/>
      <c r="AX984" s="31"/>
      <c r="AY984" s="31"/>
      <c r="AZ984" s="31"/>
      <c r="BA984" s="31"/>
      <c r="BB984" s="31"/>
      <c r="BC984" s="31"/>
      <c r="BD984" s="31"/>
    </row>
    <row r="985" spans="1:56" ht="12.75" customHeight="1" x14ac:dyDescent="0.2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  <c r="AO985" s="31"/>
      <c r="AP985" s="31"/>
      <c r="AQ985" s="31"/>
      <c r="AR985" s="31"/>
      <c r="AS985" s="31"/>
      <c r="AT985" s="31"/>
      <c r="AU985" s="31"/>
      <c r="AV985" s="31"/>
      <c r="AW985" s="31"/>
      <c r="AX985" s="31"/>
      <c r="AY985" s="31"/>
      <c r="AZ985" s="31"/>
      <c r="BA985" s="31"/>
      <c r="BB985" s="31"/>
      <c r="BC985" s="31"/>
      <c r="BD985" s="31"/>
    </row>
    <row r="986" spans="1:56" ht="12.75" customHeight="1" x14ac:dyDescent="0.2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  <c r="AO986" s="31"/>
      <c r="AP986" s="31"/>
      <c r="AQ986" s="31"/>
      <c r="AR986" s="31"/>
      <c r="AS986" s="31"/>
      <c r="AT986" s="31"/>
      <c r="AU986" s="31"/>
      <c r="AV986" s="31"/>
      <c r="AW986" s="31"/>
      <c r="AX986" s="31"/>
      <c r="AY986" s="31"/>
      <c r="AZ986" s="31"/>
      <c r="BA986" s="31"/>
      <c r="BB986" s="31"/>
      <c r="BC986" s="31"/>
      <c r="BD986" s="31"/>
    </row>
    <row r="987" spans="1:56" ht="12.75" customHeight="1" x14ac:dyDescent="0.2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  <c r="AO987" s="31"/>
      <c r="AP987" s="31"/>
      <c r="AQ987" s="31"/>
      <c r="AR987" s="31"/>
      <c r="AS987" s="31"/>
      <c r="AT987" s="31"/>
      <c r="AU987" s="31"/>
      <c r="AV987" s="31"/>
      <c r="AW987" s="31"/>
      <c r="AX987" s="31"/>
      <c r="AY987" s="31"/>
      <c r="AZ987" s="31"/>
      <c r="BA987" s="31"/>
      <c r="BB987" s="31"/>
      <c r="BC987" s="31"/>
      <c r="BD987" s="31"/>
    </row>
    <row r="988" spans="1:56" ht="12.75" customHeight="1" x14ac:dyDescent="0.2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  <c r="AO988" s="31"/>
      <c r="AP988" s="31"/>
      <c r="AQ988" s="31"/>
      <c r="AR988" s="31"/>
      <c r="AS988" s="31"/>
      <c r="AT988" s="31"/>
      <c r="AU988" s="31"/>
      <c r="AV988" s="31"/>
      <c r="AW988" s="31"/>
      <c r="AX988" s="31"/>
      <c r="AY988" s="31"/>
      <c r="AZ988" s="31"/>
      <c r="BA988" s="31"/>
      <c r="BB988" s="31"/>
      <c r="BC988" s="31"/>
      <c r="BD988" s="31"/>
    </row>
    <row r="989" spans="1:56" ht="12.75" customHeight="1" x14ac:dyDescent="0.2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  <c r="AO989" s="31"/>
      <c r="AP989" s="31"/>
      <c r="AQ989" s="31"/>
      <c r="AR989" s="31"/>
      <c r="AS989" s="31"/>
      <c r="AT989" s="31"/>
      <c r="AU989" s="31"/>
      <c r="AV989" s="31"/>
      <c r="AW989" s="31"/>
      <c r="AX989" s="31"/>
      <c r="AY989" s="31"/>
      <c r="AZ989" s="31"/>
      <c r="BA989" s="31"/>
      <c r="BB989" s="31"/>
      <c r="BC989" s="31"/>
      <c r="BD989" s="31"/>
    </row>
    <row r="990" spans="1:56" ht="12.75" customHeight="1" x14ac:dyDescent="0.2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  <c r="AO990" s="31"/>
      <c r="AP990" s="31"/>
      <c r="AQ990" s="31"/>
      <c r="AR990" s="31"/>
      <c r="AS990" s="31"/>
      <c r="AT990" s="31"/>
      <c r="AU990" s="31"/>
      <c r="AV990" s="31"/>
      <c r="AW990" s="31"/>
      <c r="AX990" s="31"/>
      <c r="AY990" s="31"/>
      <c r="AZ990" s="31"/>
      <c r="BA990" s="31"/>
      <c r="BB990" s="31"/>
      <c r="BC990" s="31"/>
      <c r="BD990" s="31"/>
    </row>
    <row r="991" spans="1:56" ht="12.75" customHeight="1" x14ac:dyDescent="0.2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  <c r="AO991" s="31"/>
      <c r="AP991" s="31"/>
      <c r="AQ991" s="31"/>
      <c r="AR991" s="31"/>
      <c r="AS991" s="31"/>
      <c r="AT991" s="31"/>
      <c r="AU991" s="31"/>
      <c r="AV991" s="31"/>
      <c r="AW991" s="31"/>
      <c r="AX991" s="31"/>
      <c r="AY991" s="31"/>
      <c r="AZ991" s="31"/>
      <c r="BA991" s="31"/>
      <c r="BB991" s="31"/>
      <c r="BC991" s="31"/>
      <c r="BD991" s="31"/>
    </row>
    <row r="992" spans="1:56" ht="12.75" customHeight="1" x14ac:dyDescent="0.2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  <c r="AO992" s="31"/>
      <c r="AP992" s="31"/>
      <c r="AQ992" s="31"/>
      <c r="AR992" s="31"/>
      <c r="AS992" s="31"/>
      <c r="AT992" s="31"/>
      <c r="AU992" s="31"/>
      <c r="AV992" s="31"/>
      <c r="AW992" s="31"/>
      <c r="AX992" s="31"/>
      <c r="AY992" s="31"/>
      <c r="AZ992" s="31"/>
      <c r="BA992" s="31"/>
      <c r="BB992" s="31"/>
      <c r="BC992" s="31"/>
      <c r="BD992" s="31"/>
    </row>
    <row r="993" spans="1:56" ht="12.75" customHeight="1" x14ac:dyDescent="0.2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  <c r="AO993" s="31"/>
      <c r="AP993" s="31"/>
      <c r="AQ993" s="31"/>
      <c r="AR993" s="31"/>
      <c r="AS993" s="31"/>
      <c r="AT993" s="31"/>
      <c r="AU993" s="31"/>
      <c r="AV993" s="31"/>
      <c r="AW993" s="31"/>
      <c r="AX993" s="31"/>
      <c r="AY993" s="31"/>
      <c r="AZ993" s="31"/>
      <c r="BA993" s="31"/>
      <c r="BB993" s="31"/>
      <c r="BC993" s="31"/>
      <c r="BD993" s="31"/>
    </row>
    <row r="994" spans="1:56" ht="12.75" customHeight="1" x14ac:dyDescent="0.2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  <c r="AO994" s="31"/>
      <c r="AP994" s="31"/>
      <c r="AQ994" s="31"/>
      <c r="AR994" s="31"/>
      <c r="AS994" s="31"/>
      <c r="AT994" s="31"/>
      <c r="AU994" s="31"/>
      <c r="AV994" s="31"/>
      <c r="AW994" s="31"/>
      <c r="AX994" s="31"/>
      <c r="AY994" s="31"/>
      <c r="AZ994" s="31"/>
      <c r="BA994" s="31"/>
      <c r="BB994" s="31"/>
      <c r="BC994" s="31"/>
      <c r="BD994" s="31"/>
    </row>
    <row r="995" spans="1:56" ht="12.75" customHeight="1" x14ac:dyDescent="0.2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  <c r="AO995" s="31"/>
      <c r="AP995" s="31"/>
      <c r="AQ995" s="31"/>
      <c r="AR995" s="31"/>
      <c r="AS995" s="31"/>
      <c r="AT995" s="31"/>
      <c r="AU995" s="31"/>
      <c r="AV995" s="31"/>
      <c r="AW995" s="31"/>
      <c r="AX995" s="31"/>
      <c r="AY995" s="31"/>
      <c r="AZ995" s="31"/>
      <c r="BA995" s="31"/>
      <c r="BB995" s="31"/>
      <c r="BC995" s="31"/>
      <c r="BD995" s="31"/>
    </row>
    <row r="996" spans="1:56" ht="12.75" customHeight="1" x14ac:dyDescent="0.2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  <c r="AO996" s="31"/>
      <c r="AP996" s="31"/>
      <c r="AQ996" s="31"/>
      <c r="AR996" s="31"/>
      <c r="AS996" s="31"/>
      <c r="AT996" s="31"/>
      <c r="AU996" s="31"/>
      <c r="AV996" s="31"/>
      <c r="AW996" s="31"/>
      <c r="AX996" s="31"/>
      <c r="AY996" s="31"/>
      <c r="AZ996" s="31"/>
      <c r="BA996" s="31"/>
      <c r="BB996" s="31"/>
      <c r="BC996" s="31"/>
      <c r="BD996" s="31"/>
    </row>
    <row r="997" spans="1:56" ht="12.75" customHeight="1" x14ac:dyDescent="0.2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  <c r="AO997" s="31"/>
      <c r="AP997" s="31"/>
      <c r="AQ997" s="31"/>
      <c r="AR997" s="31"/>
      <c r="AS997" s="31"/>
      <c r="AT997" s="31"/>
      <c r="AU997" s="31"/>
      <c r="AV997" s="31"/>
      <c r="AW997" s="31"/>
      <c r="AX997" s="31"/>
      <c r="AY997" s="31"/>
      <c r="AZ997" s="31"/>
      <c r="BA997" s="31"/>
      <c r="BB997" s="31"/>
      <c r="BC997" s="31"/>
      <c r="BD997" s="31"/>
    </row>
    <row r="998" spans="1:56" ht="12.75" customHeight="1" x14ac:dyDescent="0.2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  <c r="AO998" s="31"/>
      <c r="AP998" s="31"/>
      <c r="AQ998" s="31"/>
      <c r="AR998" s="31"/>
      <c r="AS998" s="31"/>
      <c r="AT998" s="31"/>
      <c r="AU998" s="31"/>
      <c r="AV998" s="31"/>
      <c r="AW998" s="31"/>
      <c r="AX998" s="31"/>
      <c r="AY998" s="31"/>
      <c r="AZ998" s="31"/>
      <c r="BA998" s="31"/>
      <c r="BB998" s="31"/>
      <c r="BC998" s="31"/>
      <c r="BD998" s="31"/>
    </row>
    <row r="999" spans="1:56" ht="12.75" customHeight="1" x14ac:dyDescent="0.2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  <c r="AO999" s="31"/>
      <c r="AP999" s="31"/>
      <c r="AQ999" s="31"/>
      <c r="AR999" s="31"/>
      <c r="AS999" s="31"/>
      <c r="AT999" s="31"/>
      <c r="AU999" s="31"/>
      <c r="AV999" s="31"/>
      <c r="AW999" s="31"/>
      <c r="AX999" s="31"/>
      <c r="AY999" s="31"/>
      <c r="AZ999" s="31"/>
      <c r="BA999" s="31"/>
      <c r="BB999" s="31"/>
      <c r="BC999" s="31"/>
      <c r="BD999" s="31"/>
    </row>
    <row r="1000" spans="1:56" ht="12.75" customHeight="1" x14ac:dyDescent="0.2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  <c r="AO1000" s="31"/>
      <c r="AP1000" s="31"/>
      <c r="AQ1000" s="31"/>
      <c r="AR1000" s="31"/>
      <c r="AS1000" s="31"/>
      <c r="AT1000" s="31"/>
      <c r="AU1000" s="31"/>
      <c r="AV1000" s="31"/>
      <c r="AW1000" s="31"/>
      <c r="AX1000" s="31"/>
      <c r="AY1000" s="31"/>
      <c r="AZ1000" s="31"/>
      <c r="BA1000" s="31"/>
      <c r="BB1000" s="31"/>
      <c r="BC1000" s="31"/>
      <c r="BD1000" s="31"/>
    </row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B2" sqref="B2"/>
    </sheetView>
  </sheetViews>
  <sheetFormatPr defaultColWidth="12.5703125" defaultRowHeight="15" customHeight="1" x14ac:dyDescent="0.2"/>
  <cols>
    <col min="1" max="1" width="18.140625" customWidth="1"/>
    <col min="2" max="2" width="11.5703125" customWidth="1"/>
    <col min="3" max="6" width="9.140625" customWidth="1"/>
    <col min="7" max="26" width="8.5703125" customWidth="1"/>
  </cols>
  <sheetData>
    <row r="1" spans="1:26" ht="12.75" customHeight="1" x14ac:dyDescent="0.2">
      <c r="A1" s="32" t="s">
        <v>82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2.75" customHeight="1" x14ac:dyDescent="0.2">
      <c r="A2" s="6" t="s">
        <v>34</v>
      </c>
      <c r="B2" s="32">
        <f>'Uji Kecukupan Data'!C43</f>
        <v>45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2.75" customHeight="1" x14ac:dyDescent="0.2">
      <c r="A3" s="6" t="s">
        <v>36</v>
      </c>
      <c r="B3" s="32">
        <f>'Uji Kecukupan Data'!E43</f>
        <v>46.75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2.75" customHeight="1" x14ac:dyDescent="0.2">
      <c r="A4" s="6" t="s">
        <v>38</v>
      </c>
      <c r="B4" s="32">
        <f>'Uji Kecukupan Data'!G43</f>
        <v>52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2.75" customHeight="1" x14ac:dyDescent="0.2">
      <c r="A5" s="6" t="s">
        <v>40</v>
      </c>
      <c r="B5" s="32">
        <f>'Uji Kecukupan Data'!I43</f>
        <v>42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2.75" customHeight="1" x14ac:dyDescent="0.2">
      <c r="A6" s="6" t="s">
        <v>42</v>
      </c>
      <c r="B6" s="32">
        <f>'Uji Kecukupan Data'!K43</f>
        <v>57.75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2.75" customHeight="1" x14ac:dyDescent="0.2">
      <c r="A7" s="6" t="s">
        <v>44</v>
      </c>
      <c r="B7" s="32">
        <f>'Uji Kecukupan Data'!M43</f>
        <v>118.75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2.75" customHeight="1" x14ac:dyDescent="0.2">
      <c r="A8" s="6" t="s">
        <v>46</v>
      </c>
      <c r="B8" s="32">
        <f>'Uji Kecukupan Data'!O43</f>
        <v>130.75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2.75" customHeight="1" x14ac:dyDescent="0.2">
      <c r="A9" s="6" t="s">
        <v>48</v>
      </c>
      <c r="B9" s="32">
        <f>'Uji Kecukupan Data'!Q43</f>
        <v>16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2.75" customHeight="1" x14ac:dyDescent="0.2">
      <c r="A10" s="6" t="s">
        <v>50</v>
      </c>
      <c r="B10" s="32">
        <f>'Uji Kecukupan Data'!S43</f>
        <v>56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2.75" customHeight="1" x14ac:dyDescent="0.2">
      <c r="A11" s="6" t="s">
        <v>52</v>
      </c>
      <c r="B11" s="32">
        <f>'Uji Kecukupan Data'!U43</f>
        <v>24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2.75" customHeight="1" x14ac:dyDescent="0.2">
      <c r="A12" s="6" t="s">
        <v>54</v>
      </c>
      <c r="B12" s="32">
        <f>'Uji Kecukupan Data'!W43</f>
        <v>101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2.7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2.7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2.75" customHeigh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2.75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2.75" customHeigh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2.75" customHeigh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2.75" customHeigh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2.75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2.75" customHeight="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2.75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2.7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2.7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2.75" customHeight="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2.75" customHeight="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2.75" customHeigh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2.75" customHeigh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2.75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2.75" customHeigh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2.75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2.75" customHeight="1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2.75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2.75" customHeight="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2.75" customHeight="1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2.7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2.7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2.75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2.7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2.7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2.75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2.75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2.7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2.75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2.7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2.75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2.75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2.75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2.75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.75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.75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2.7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2.75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2.75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2.75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2.75" customHeigh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2.75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2.75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2.75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2.75" customHeigh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2.75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2.75" customHeight="1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2.75" customHeight="1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2.75" customHeight="1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2.75" customHeight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2.75" customHeight="1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2.75" customHeight="1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2.75" customHeight="1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2.75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2.75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2.75" customHeigh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2.75" customHeight="1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2.75" customHeight="1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2.75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2.75" customHeight="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2.75" customHeigh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2.75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2.75" customHeigh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2.75" customHeigh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2.75" customHeigh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2.75" customHeigh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2.75" customHeigh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2.7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2.75" customHeight="1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2.75" customHeight="1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2.75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2.75" customHeight="1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2.75" customHeight="1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2.75" customHeight="1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2.75" customHeight="1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2.75" customHeight="1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2.7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2.75" customHeight="1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2.75" customHeight="1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2.75" customHeight="1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2.75" customHeight="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2.75" customHeight="1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2.75" customHeight="1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2.75" customHeight="1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2.7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2.75" customHeight="1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2.75" customHeight="1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2.75" customHeight="1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2.75" customHeight="1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2.75" customHeight="1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2.75" customHeight="1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2.75" customHeight="1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2.75" customHeight="1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2.75" customHeight="1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2.75" customHeight="1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2.75" customHeight="1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2.75" customHeight="1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2.7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2.75" customHeight="1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2.75" customHeight="1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2.75" customHeight="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2.7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2.75" customHeight="1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2.75" customHeight="1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2.75" customHeight="1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2.7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2.75" customHeight="1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2.75" customHeight="1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2.7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2.75" customHeight="1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2.75" customHeight="1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2.75" customHeight="1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2.75" customHeight="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2.75" customHeight="1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2.75" customHeight="1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2.75" customHeight="1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2.75" customHeight="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2.75" customHeight="1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2.75" customHeight="1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2.75" customHeight="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2.75" customHeight="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2.75" customHeight="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2.75" customHeight="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2.75" customHeigh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2.75" customHeigh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2.75" customHeight="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2.75" customHeight="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2.75" customHeight="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2.75" customHeight="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2.75" customHeight="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2.75" customHeight="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2.75" customHeight="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2.75" customHeight="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2.75" customHeight="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2.75" customHeight="1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2.75" customHeight="1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2.75" customHeight="1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2.75" customHeight="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2.75" customHeight="1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2.75" customHeight="1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2.75" customHeight="1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2.75" customHeight="1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2.75" customHeight="1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2.75" customHeight="1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2.75" customHeight="1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2.75" customHeight="1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2.75" customHeight="1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2.75" customHeight="1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2.75" customHeight="1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2.75" customHeight="1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2.75" customHeight="1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2.75" customHeight="1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2.75" customHeight="1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2.75" customHeight="1" x14ac:dyDescent="0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2.75" customHeight="1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2.75" customHeight="1" x14ac:dyDescent="0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2.75" customHeight="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2.75" customHeight="1" x14ac:dyDescent="0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2.75" customHeight="1" x14ac:dyDescent="0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2.75" customHeight="1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2.75" customHeight="1" x14ac:dyDescent="0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2.75" customHeight="1" x14ac:dyDescent="0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2.75" customHeight="1" x14ac:dyDescent="0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2.75" customHeight="1" x14ac:dyDescent="0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2.75" customHeight="1" x14ac:dyDescent="0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2.75" customHeight="1" x14ac:dyDescent="0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2.75" customHeight="1" x14ac:dyDescent="0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2.75" customHeight="1" x14ac:dyDescent="0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2.75" customHeight="1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2.75" customHeight="1" x14ac:dyDescent="0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2.75" customHeight="1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2.75" customHeight="1" x14ac:dyDescent="0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2.75" customHeight="1" x14ac:dyDescent="0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2.75" customHeight="1" x14ac:dyDescent="0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2.75" customHeight="1" x14ac:dyDescent="0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2.75" customHeight="1" x14ac:dyDescent="0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2.75" customHeight="1" x14ac:dyDescent="0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2.75" customHeight="1" x14ac:dyDescent="0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2.75" customHeight="1" x14ac:dyDescent="0.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2.75" customHeight="1" x14ac:dyDescent="0.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2.75" customHeight="1" x14ac:dyDescent="0.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2.75" customHeight="1" x14ac:dyDescent="0.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2.75" customHeight="1" x14ac:dyDescent="0.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2.75" customHeight="1" x14ac:dyDescent="0.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2.75" customHeight="1" x14ac:dyDescent="0.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2.75" customHeight="1" x14ac:dyDescent="0.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2.75" customHeight="1" x14ac:dyDescent="0.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2.75" customHeight="1" x14ac:dyDescent="0.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2.75" customHeight="1" x14ac:dyDescent="0.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2.75" customHeight="1" x14ac:dyDescent="0.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2.75" customHeight="1" x14ac:dyDescent="0.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2.75" customHeight="1" x14ac:dyDescent="0.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2.75" customHeight="1" x14ac:dyDescent="0.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2.75" customHeight="1" x14ac:dyDescent="0.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2.75" customHeight="1" x14ac:dyDescent="0.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2.75" customHeight="1" x14ac:dyDescent="0.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2.75" customHeight="1" x14ac:dyDescent="0.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2.75" customHeight="1" x14ac:dyDescent="0.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2.75" customHeight="1" x14ac:dyDescent="0.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2.75" customHeight="1" x14ac:dyDescent="0.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2.75" customHeight="1" x14ac:dyDescent="0.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2.75" customHeight="1" x14ac:dyDescent="0.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2.75" customHeight="1" x14ac:dyDescent="0.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2.75" customHeight="1" x14ac:dyDescent="0.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2.75" customHeight="1" x14ac:dyDescent="0.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2.75" customHeight="1" x14ac:dyDescent="0.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2.75" customHeight="1" x14ac:dyDescent="0.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2.75" customHeight="1" x14ac:dyDescent="0.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2.75" customHeight="1" x14ac:dyDescent="0.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2.75" customHeight="1" x14ac:dyDescent="0.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2.75" customHeight="1" x14ac:dyDescent="0.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2.75" customHeight="1" x14ac:dyDescent="0.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2.75" customHeight="1" x14ac:dyDescent="0.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2.75" customHeight="1" x14ac:dyDescent="0.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2.75" customHeight="1" x14ac:dyDescent="0.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2.75" customHeight="1" x14ac:dyDescent="0.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2.75" customHeight="1" x14ac:dyDescent="0.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2.75" customHeight="1" x14ac:dyDescent="0.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2.75" customHeight="1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2.75" customHeight="1" x14ac:dyDescent="0.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2.75" customHeight="1" x14ac:dyDescent="0.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2.75" customHeight="1" x14ac:dyDescent="0.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2.75" customHeight="1" x14ac:dyDescent="0.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2.75" customHeight="1" x14ac:dyDescent="0.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2.75" customHeight="1" x14ac:dyDescent="0.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2.75" customHeight="1" x14ac:dyDescent="0.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2.75" customHeight="1" x14ac:dyDescent="0.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2.75" customHeight="1" x14ac:dyDescent="0.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2.75" customHeight="1" x14ac:dyDescent="0.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2.75" customHeight="1" x14ac:dyDescent="0.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2.75" customHeight="1" x14ac:dyDescent="0.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2.75" customHeight="1" x14ac:dyDescent="0.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2.75" customHeight="1" x14ac:dyDescent="0.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2.75" customHeight="1" x14ac:dyDescent="0.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2.75" customHeight="1" x14ac:dyDescent="0.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2.75" customHeight="1" x14ac:dyDescent="0.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2.75" customHeight="1" x14ac:dyDescent="0.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2.75" customHeight="1" x14ac:dyDescent="0.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2.75" customHeight="1" x14ac:dyDescent="0.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2.75" customHeight="1" x14ac:dyDescent="0.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2.75" customHeight="1" x14ac:dyDescent="0.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2.75" customHeight="1" x14ac:dyDescent="0.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2.75" customHeight="1" x14ac:dyDescent="0.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2.75" customHeight="1" x14ac:dyDescent="0.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2.75" customHeight="1" x14ac:dyDescent="0.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2.75" customHeight="1" x14ac:dyDescent="0.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2.75" customHeight="1" x14ac:dyDescent="0.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2.75" customHeight="1" x14ac:dyDescent="0.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2.75" customHeight="1" x14ac:dyDescent="0.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2.75" customHeight="1" x14ac:dyDescent="0.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2.75" customHeight="1" x14ac:dyDescent="0.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2.75" customHeight="1" x14ac:dyDescent="0.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2.75" customHeight="1" x14ac:dyDescent="0.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2.75" customHeight="1" x14ac:dyDescent="0.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2.75" customHeight="1" x14ac:dyDescent="0.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2.75" customHeight="1" x14ac:dyDescent="0.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2.75" customHeight="1" x14ac:dyDescent="0.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2.75" customHeight="1" x14ac:dyDescent="0.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2.75" customHeight="1" x14ac:dyDescent="0.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2.75" customHeight="1" x14ac:dyDescent="0.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2.75" customHeight="1" x14ac:dyDescent="0.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2.75" customHeight="1" x14ac:dyDescent="0.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2.75" customHeight="1" x14ac:dyDescent="0.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2.75" customHeight="1" x14ac:dyDescent="0.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2.75" customHeight="1" x14ac:dyDescent="0.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2.75" customHeight="1" x14ac:dyDescent="0.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2.75" customHeight="1" x14ac:dyDescent="0.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2.75" customHeight="1" x14ac:dyDescent="0.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2.75" customHeight="1" x14ac:dyDescent="0.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2.75" customHeight="1" x14ac:dyDescent="0.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2.75" customHeight="1" x14ac:dyDescent="0.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2.75" customHeight="1" x14ac:dyDescent="0.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2.75" customHeight="1" x14ac:dyDescent="0.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2.75" customHeight="1" x14ac:dyDescent="0.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2.75" customHeight="1" x14ac:dyDescent="0.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2.75" customHeight="1" x14ac:dyDescent="0.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2.75" customHeight="1" x14ac:dyDescent="0.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2.75" customHeight="1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2.75" customHeight="1" x14ac:dyDescent="0.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2.75" customHeight="1" x14ac:dyDescent="0.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2.75" customHeight="1" x14ac:dyDescent="0.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2.75" customHeight="1" x14ac:dyDescent="0.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2.75" customHeight="1" x14ac:dyDescent="0.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2.75" customHeight="1" x14ac:dyDescent="0.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2.75" customHeight="1" x14ac:dyDescent="0.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2.75" customHeight="1" x14ac:dyDescent="0.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2.75" customHeight="1" x14ac:dyDescent="0.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2.75" customHeight="1" x14ac:dyDescent="0.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2.75" customHeight="1" x14ac:dyDescent="0.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2.75" customHeight="1" x14ac:dyDescent="0.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2.75" customHeight="1" x14ac:dyDescent="0.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2.75" customHeight="1" x14ac:dyDescent="0.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2.75" customHeight="1" x14ac:dyDescent="0.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2.75" customHeight="1" x14ac:dyDescent="0.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2.75" customHeight="1" x14ac:dyDescent="0.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2.75" customHeight="1" x14ac:dyDescent="0.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2.75" customHeight="1" x14ac:dyDescent="0.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2.75" customHeight="1" x14ac:dyDescent="0.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2.75" customHeight="1" x14ac:dyDescent="0.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2.75" customHeight="1" x14ac:dyDescent="0.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2.75" customHeight="1" x14ac:dyDescent="0.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2.75" customHeight="1" x14ac:dyDescent="0.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2.75" customHeight="1" x14ac:dyDescent="0.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2.75" customHeight="1" x14ac:dyDescent="0.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2.75" customHeight="1" x14ac:dyDescent="0.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2.75" customHeight="1" x14ac:dyDescent="0.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2.75" customHeight="1" x14ac:dyDescent="0.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2.75" customHeight="1" x14ac:dyDescent="0.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2.75" customHeight="1" x14ac:dyDescent="0.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2.75" customHeight="1" x14ac:dyDescent="0.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2.75" customHeight="1" x14ac:dyDescent="0.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2.75" customHeight="1" x14ac:dyDescent="0.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2.75" customHeight="1" x14ac:dyDescent="0.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2.75" customHeight="1" x14ac:dyDescent="0.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2.75" customHeight="1" x14ac:dyDescent="0.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2.75" customHeight="1" x14ac:dyDescent="0.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2.75" customHeight="1" x14ac:dyDescent="0.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2.75" customHeight="1" x14ac:dyDescent="0.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2.75" customHeight="1" x14ac:dyDescent="0.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2.75" customHeight="1" x14ac:dyDescent="0.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2.75" customHeight="1" x14ac:dyDescent="0.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2.75" customHeight="1" x14ac:dyDescent="0.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2.75" customHeight="1" x14ac:dyDescent="0.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2.75" customHeight="1" x14ac:dyDescent="0.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2.75" customHeight="1" x14ac:dyDescent="0.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2.75" customHeight="1" x14ac:dyDescent="0.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2.75" customHeight="1" x14ac:dyDescent="0.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2.75" customHeight="1" x14ac:dyDescent="0.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2.75" customHeight="1" x14ac:dyDescent="0.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2.75" customHeight="1" x14ac:dyDescent="0.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2.75" customHeight="1" x14ac:dyDescent="0.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2.75" customHeight="1" x14ac:dyDescent="0.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2.75" customHeight="1" x14ac:dyDescent="0.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2.75" customHeight="1" x14ac:dyDescent="0.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2.75" customHeight="1" x14ac:dyDescent="0.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2.75" customHeight="1" x14ac:dyDescent="0.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2.75" customHeight="1" x14ac:dyDescent="0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2.75" customHeight="1" x14ac:dyDescent="0.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2.75" customHeight="1" x14ac:dyDescent="0.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2.75" customHeight="1" x14ac:dyDescent="0.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2.75" customHeight="1" x14ac:dyDescent="0.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2.75" customHeight="1" x14ac:dyDescent="0.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2.75" customHeight="1" x14ac:dyDescent="0.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2.75" customHeight="1" x14ac:dyDescent="0.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2.75" customHeight="1" x14ac:dyDescent="0.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2.75" customHeight="1" x14ac:dyDescent="0.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2.75" customHeight="1" x14ac:dyDescent="0.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2.75" customHeight="1" x14ac:dyDescent="0.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2.75" customHeight="1" x14ac:dyDescent="0.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2.75" customHeight="1" x14ac:dyDescent="0.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2.75" customHeight="1" x14ac:dyDescent="0.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2.75" customHeight="1" x14ac:dyDescent="0.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2.75" customHeight="1" x14ac:dyDescent="0.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2.75" customHeight="1" x14ac:dyDescent="0.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2.75" customHeight="1" x14ac:dyDescent="0.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2.75" customHeight="1" x14ac:dyDescent="0.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2.75" customHeight="1" x14ac:dyDescent="0.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2.75" customHeight="1" x14ac:dyDescent="0.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2.75" customHeight="1" x14ac:dyDescent="0.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2.75" customHeight="1" x14ac:dyDescent="0.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2.75" customHeight="1" x14ac:dyDescent="0.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2.75" customHeight="1" x14ac:dyDescent="0.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2.75" customHeight="1" x14ac:dyDescent="0.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2.75" customHeight="1" x14ac:dyDescent="0.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2.75" customHeight="1" x14ac:dyDescent="0.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2.75" customHeight="1" x14ac:dyDescent="0.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2.75" customHeight="1" x14ac:dyDescent="0.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2.75" customHeight="1" x14ac:dyDescent="0.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2.75" customHeight="1" x14ac:dyDescent="0.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2.75" customHeight="1" x14ac:dyDescent="0.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2.75" customHeight="1" x14ac:dyDescent="0.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2.75" customHeight="1" x14ac:dyDescent="0.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2.75" customHeight="1" x14ac:dyDescent="0.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2.75" customHeight="1" x14ac:dyDescent="0.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2.75" customHeight="1" x14ac:dyDescent="0.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2.75" customHeight="1" x14ac:dyDescent="0.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2.75" customHeight="1" x14ac:dyDescent="0.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2.75" customHeight="1" x14ac:dyDescent="0.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2.75" customHeight="1" x14ac:dyDescent="0.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2.75" customHeight="1" x14ac:dyDescent="0.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2.75" customHeight="1" x14ac:dyDescent="0.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2.75" customHeight="1" x14ac:dyDescent="0.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2.75" customHeight="1" x14ac:dyDescent="0.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2.75" customHeight="1" x14ac:dyDescent="0.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2.75" customHeight="1" x14ac:dyDescent="0.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2.75" customHeight="1" x14ac:dyDescent="0.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2.75" customHeight="1" x14ac:dyDescent="0.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2.75" customHeight="1" x14ac:dyDescent="0.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2.75" customHeight="1" x14ac:dyDescent="0.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2.75" customHeight="1" x14ac:dyDescent="0.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2.75" customHeight="1" x14ac:dyDescent="0.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2.75" customHeight="1" x14ac:dyDescent="0.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2.75" customHeight="1" x14ac:dyDescent="0.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2.75" customHeight="1" x14ac:dyDescent="0.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2.75" customHeight="1" x14ac:dyDescent="0.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2.75" customHeight="1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2.75" customHeight="1" x14ac:dyDescent="0.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2.75" customHeight="1" x14ac:dyDescent="0.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2.75" customHeight="1" x14ac:dyDescent="0.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2.75" customHeight="1" x14ac:dyDescent="0.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2.75" customHeight="1" x14ac:dyDescent="0.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2.75" customHeight="1" x14ac:dyDescent="0.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2.75" customHeight="1" x14ac:dyDescent="0.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2.75" customHeight="1" x14ac:dyDescent="0.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2.75" customHeight="1" x14ac:dyDescent="0.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2.75" customHeight="1" x14ac:dyDescent="0.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2.75" customHeight="1" x14ac:dyDescent="0.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2.75" customHeight="1" x14ac:dyDescent="0.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2.75" customHeight="1" x14ac:dyDescent="0.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2.75" customHeight="1" x14ac:dyDescent="0.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2.75" customHeight="1" x14ac:dyDescent="0.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2.75" customHeight="1" x14ac:dyDescent="0.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2.75" customHeight="1" x14ac:dyDescent="0.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2.75" customHeight="1" x14ac:dyDescent="0.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2.75" customHeight="1" x14ac:dyDescent="0.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2.75" customHeight="1" x14ac:dyDescent="0.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2.75" customHeight="1" x14ac:dyDescent="0.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2.75" customHeight="1" x14ac:dyDescent="0.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2.75" customHeight="1" x14ac:dyDescent="0.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2.75" customHeight="1" x14ac:dyDescent="0.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2.75" customHeight="1" x14ac:dyDescent="0.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2.75" customHeight="1" x14ac:dyDescent="0.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2.75" customHeight="1" x14ac:dyDescent="0.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2.75" customHeight="1" x14ac:dyDescent="0.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2.75" customHeight="1" x14ac:dyDescent="0.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2.75" customHeight="1" x14ac:dyDescent="0.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2.75" customHeight="1" x14ac:dyDescent="0.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2.75" customHeight="1" x14ac:dyDescent="0.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2.75" customHeight="1" x14ac:dyDescent="0.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2.75" customHeight="1" x14ac:dyDescent="0.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2.75" customHeight="1" x14ac:dyDescent="0.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2.75" customHeight="1" x14ac:dyDescent="0.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2.75" customHeight="1" x14ac:dyDescent="0.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2.75" customHeight="1" x14ac:dyDescent="0.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2.75" customHeight="1" x14ac:dyDescent="0.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2.75" customHeight="1" x14ac:dyDescent="0.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2.75" customHeight="1" x14ac:dyDescent="0.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2.75" customHeight="1" x14ac:dyDescent="0.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2.75" customHeight="1" x14ac:dyDescent="0.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2.75" customHeight="1" x14ac:dyDescent="0.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2.75" customHeight="1" x14ac:dyDescent="0.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2.75" customHeight="1" x14ac:dyDescent="0.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2.75" customHeight="1" x14ac:dyDescent="0.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2.75" customHeight="1" x14ac:dyDescent="0.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2.75" customHeight="1" x14ac:dyDescent="0.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2.75" customHeight="1" x14ac:dyDescent="0.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2.75" customHeight="1" x14ac:dyDescent="0.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2.75" customHeight="1" x14ac:dyDescent="0.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2.75" customHeight="1" x14ac:dyDescent="0.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2.75" customHeight="1" x14ac:dyDescent="0.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2.75" customHeight="1" x14ac:dyDescent="0.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2.75" customHeight="1" x14ac:dyDescent="0.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2.75" customHeight="1" x14ac:dyDescent="0.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2.75" customHeight="1" x14ac:dyDescent="0.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2.75" customHeight="1" x14ac:dyDescent="0.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2.75" customHeight="1" x14ac:dyDescent="0.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2.75" customHeight="1" x14ac:dyDescent="0.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2.75" customHeight="1" x14ac:dyDescent="0.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2.75" customHeight="1" x14ac:dyDescent="0.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2.75" customHeight="1" x14ac:dyDescent="0.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2.75" customHeight="1" x14ac:dyDescent="0.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2.75" customHeight="1" x14ac:dyDescent="0.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2.75" customHeight="1" x14ac:dyDescent="0.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2.75" customHeight="1" x14ac:dyDescent="0.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2.75" customHeight="1" x14ac:dyDescent="0.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2.75" customHeight="1" x14ac:dyDescent="0.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2.75" customHeight="1" x14ac:dyDescent="0.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2.75" customHeight="1" x14ac:dyDescent="0.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2.75" customHeight="1" x14ac:dyDescent="0.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2.75" customHeight="1" x14ac:dyDescent="0.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2.75" customHeight="1" x14ac:dyDescent="0.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2.75" customHeight="1" x14ac:dyDescent="0.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2.75" customHeight="1" x14ac:dyDescent="0.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2.75" customHeight="1" x14ac:dyDescent="0.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2.75" customHeight="1" x14ac:dyDescent="0.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2.75" customHeight="1" x14ac:dyDescent="0.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2.75" customHeight="1" x14ac:dyDescent="0.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2.75" customHeight="1" x14ac:dyDescent="0.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2.75" customHeight="1" x14ac:dyDescent="0.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2.75" customHeight="1" x14ac:dyDescent="0.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2.75" customHeight="1" x14ac:dyDescent="0.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2.75" customHeight="1" x14ac:dyDescent="0.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2.75" customHeight="1" x14ac:dyDescent="0.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2.75" customHeight="1" x14ac:dyDescent="0.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2.75" customHeight="1" x14ac:dyDescent="0.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2.75" customHeight="1" x14ac:dyDescent="0.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2.75" customHeight="1" x14ac:dyDescent="0.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2.75" customHeight="1" x14ac:dyDescent="0.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2.75" customHeight="1" x14ac:dyDescent="0.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2.75" customHeight="1" x14ac:dyDescent="0.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2.75" customHeight="1" x14ac:dyDescent="0.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2.75" customHeight="1" x14ac:dyDescent="0.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2.75" customHeight="1" x14ac:dyDescent="0.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2.75" customHeight="1" x14ac:dyDescent="0.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2.75" customHeight="1" x14ac:dyDescent="0.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2.75" customHeight="1" x14ac:dyDescent="0.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2.75" customHeight="1" x14ac:dyDescent="0.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2.75" customHeight="1" x14ac:dyDescent="0.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2.75" customHeight="1" x14ac:dyDescent="0.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2.75" customHeight="1" x14ac:dyDescent="0.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2.75" customHeight="1" x14ac:dyDescent="0.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2.75" customHeight="1" x14ac:dyDescent="0.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2.75" customHeight="1" x14ac:dyDescent="0.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2.75" customHeight="1" x14ac:dyDescent="0.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2.75" customHeight="1" x14ac:dyDescent="0.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2.75" customHeight="1" x14ac:dyDescent="0.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2.75" customHeight="1" x14ac:dyDescent="0.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2.75" customHeight="1" x14ac:dyDescent="0.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2.75" customHeight="1" x14ac:dyDescent="0.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2.75" customHeight="1" x14ac:dyDescent="0.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2.75" customHeight="1" x14ac:dyDescent="0.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2.75" customHeight="1" x14ac:dyDescent="0.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2.75" customHeight="1" x14ac:dyDescent="0.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2.75" customHeight="1" x14ac:dyDescent="0.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2.75" customHeight="1" x14ac:dyDescent="0.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2.75" customHeight="1" x14ac:dyDescent="0.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2.75" customHeight="1" x14ac:dyDescent="0.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2.75" customHeight="1" x14ac:dyDescent="0.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2.75" customHeight="1" x14ac:dyDescent="0.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2.75" customHeight="1" x14ac:dyDescent="0.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2.75" customHeight="1" x14ac:dyDescent="0.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2.75" customHeight="1" x14ac:dyDescent="0.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2.75" customHeight="1" x14ac:dyDescent="0.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2.75" customHeight="1" x14ac:dyDescent="0.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2.75" customHeight="1" x14ac:dyDescent="0.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2.75" customHeight="1" x14ac:dyDescent="0.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2.75" customHeight="1" x14ac:dyDescent="0.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2.75" customHeight="1" x14ac:dyDescent="0.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2.75" customHeight="1" x14ac:dyDescent="0.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2.75" customHeight="1" x14ac:dyDescent="0.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2.75" customHeight="1" x14ac:dyDescent="0.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2.75" customHeight="1" x14ac:dyDescent="0.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2.75" customHeight="1" x14ac:dyDescent="0.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2.75" customHeight="1" x14ac:dyDescent="0.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2.75" customHeight="1" x14ac:dyDescent="0.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2.75" customHeight="1" x14ac:dyDescent="0.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2.75" customHeight="1" x14ac:dyDescent="0.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2.75" customHeight="1" x14ac:dyDescent="0.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2.75" customHeigh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2.75" customHeight="1" x14ac:dyDescent="0.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2.75" customHeight="1" x14ac:dyDescent="0.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2.75" customHeight="1" x14ac:dyDescent="0.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2.75" customHeight="1" x14ac:dyDescent="0.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2.75" customHeight="1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2.75" customHeight="1" x14ac:dyDescent="0.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2.75" customHeight="1" x14ac:dyDescent="0.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2.75" customHeight="1" x14ac:dyDescent="0.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2.75" customHeight="1" x14ac:dyDescent="0.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2.75" customHeight="1" x14ac:dyDescent="0.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2.75" customHeight="1" x14ac:dyDescent="0.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2.75" customHeight="1" x14ac:dyDescent="0.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2.75" customHeight="1" x14ac:dyDescent="0.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2.75" customHeight="1" x14ac:dyDescent="0.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2.75" customHeight="1" x14ac:dyDescent="0.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2.75" customHeight="1" x14ac:dyDescent="0.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2.75" customHeight="1" x14ac:dyDescent="0.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2.75" customHeight="1" x14ac:dyDescent="0.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2.75" customHeight="1" x14ac:dyDescent="0.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2.75" customHeight="1" x14ac:dyDescent="0.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2.75" customHeight="1" x14ac:dyDescent="0.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2.75" customHeight="1" x14ac:dyDescent="0.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2.75" customHeight="1" x14ac:dyDescent="0.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2.75" customHeight="1" x14ac:dyDescent="0.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2.75" customHeight="1" x14ac:dyDescent="0.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2.75" customHeight="1" x14ac:dyDescent="0.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2.75" customHeight="1" x14ac:dyDescent="0.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2.75" customHeight="1" x14ac:dyDescent="0.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2.75" customHeight="1" x14ac:dyDescent="0.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2.75" customHeight="1" x14ac:dyDescent="0.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2.75" customHeight="1" x14ac:dyDescent="0.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2.75" customHeight="1" x14ac:dyDescent="0.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2.75" customHeight="1" x14ac:dyDescent="0.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2.75" customHeight="1" x14ac:dyDescent="0.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2.75" customHeight="1" x14ac:dyDescent="0.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2.75" customHeight="1" x14ac:dyDescent="0.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2.75" customHeight="1" x14ac:dyDescent="0.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2.75" customHeight="1" x14ac:dyDescent="0.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2.75" customHeight="1" x14ac:dyDescent="0.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2.75" customHeight="1" x14ac:dyDescent="0.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2.75" customHeight="1" x14ac:dyDescent="0.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2.75" customHeight="1" x14ac:dyDescent="0.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2.75" customHeight="1" x14ac:dyDescent="0.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2.75" customHeight="1" x14ac:dyDescent="0.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2.75" customHeight="1" x14ac:dyDescent="0.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2.75" customHeight="1" x14ac:dyDescent="0.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2.75" customHeight="1" x14ac:dyDescent="0.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2.75" customHeight="1" x14ac:dyDescent="0.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2.75" customHeight="1" x14ac:dyDescent="0.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2.75" customHeight="1" x14ac:dyDescent="0.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2.75" customHeight="1" x14ac:dyDescent="0.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2.75" customHeight="1" x14ac:dyDescent="0.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2.75" customHeight="1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2.75" customHeight="1" x14ac:dyDescent="0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2.75" customHeight="1" x14ac:dyDescent="0.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2.75" customHeight="1" x14ac:dyDescent="0.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2.75" customHeight="1" x14ac:dyDescent="0.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2.75" customHeight="1" x14ac:dyDescent="0.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2.75" customHeight="1" x14ac:dyDescent="0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2.75" customHeight="1" x14ac:dyDescent="0.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2.75" customHeight="1" x14ac:dyDescent="0.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2.75" customHeight="1" x14ac:dyDescent="0.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2.75" customHeight="1" x14ac:dyDescent="0.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2.75" customHeight="1" x14ac:dyDescent="0.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2.75" customHeight="1" x14ac:dyDescent="0.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2.75" customHeight="1" x14ac:dyDescent="0.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2.75" customHeight="1" x14ac:dyDescent="0.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2.75" customHeight="1" x14ac:dyDescent="0.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2.75" customHeight="1" x14ac:dyDescent="0.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2.75" customHeight="1" x14ac:dyDescent="0.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2.75" customHeight="1" x14ac:dyDescent="0.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2.75" customHeight="1" x14ac:dyDescent="0.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2.75" customHeight="1" x14ac:dyDescent="0.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2.75" customHeight="1" x14ac:dyDescent="0.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2.75" customHeight="1" x14ac:dyDescent="0.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2.75" customHeight="1" x14ac:dyDescent="0.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2.75" customHeight="1" x14ac:dyDescent="0.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2.75" customHeight="1" x14ac:dyDescent="0.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2.75" customHeight="1" x14ac:dyDescent="0.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2.75" customHeight="1" x14ac:dyDescent="0.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2.75" customHeight="1" x14ac:dyDescent="0.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2.75" customHeight="1" x14ac:dyDescent="0.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2.75" customHeight="1" x14ac:dyDescent="0.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2.75" customHeight="1" x14ac:dyDescent="0.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2.75" customHeight="1" x14ac:dyDescent="0.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2.75" customHeight="1" x14ac:dyDescent="0.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2.75" customHeight="1" x14ac:dyDescent="0.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2.75" customHeight="1" x14ac:dyDescent="0.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2.75" customHeight="1" x14ac:dyDescent="0.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2.75" customHeight="1" x14ac:dyDescent="0.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2.75" customHeight="1" x14ac:dyDescent="0.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2.75" customHeight="1" x14ac:dyDescent="0.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2.75" customHeight="1" x14ac:dyDescent="0.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2.75" customHeight="1" x14ac:dyDescent="0.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2.75" customHeight="1" x14ac:dyDescent="0.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2.75" customHeight="1" x14ac:dyDescent="0.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2.75" customHeight="1" x14ac:dyDescent="0.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2.75" customHeight="1" x14ac:dyDescent="0.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2.75" customHeight="1" x14ac:dyDescent="0.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2.75" customHeight="1" x14ac:dyDescent="0.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2.75" customHeight="1" x14ac:dyDescent="0.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2.75" customHeight="1" x14ac:dyDescent="0.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2.75" customHeight="1" x14ac:dyDescent="0.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2.75" customHeight="1" x14ac:dyDescent="0.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2.75" customHeight="1" x14ac:dyDescent="0.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2.75" customHeight="1" x14ac:dyDescent="0.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2.75" customHeight="1" x14ac:dyDescent="0.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2.75" customHeight="1" x14ac:dyDescent="0.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2.75" customHeight="1" x14ac:dyDescent="0.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2.75" customHeight="1" x14ac:dyDescent="0.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2.75" customHeight="1" x14ac:dyDescent="0.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2.75" customHeight="1" x14ac:dyDescent="0.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2.75" customHeight="1" x14ac:dyDescent="0.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2.75" customHeight="1" x14ac:dyDescent="0.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2.75" customHeight="1" x14ac:dyDescent="0.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2.75" customHeight="1" x14ac:dyDescent="0.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2.75" customHeight="1" x14ac:dyDescent="0.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2.75" customHeight="1" x14ac:dyDescent="0.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2.75" customHeight="1" x14ac:dyDescent="0.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2.75" customHeight="1" x14ac:dyDescent="0.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2.75" customHeight="1" x14ac:dyDescent="0.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2.75" customHeight="1" x14ac:dyDescent="0.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2.75" customHeight="1" x14ac:dyDescent="0.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2.75" customHeight="1" x14ac:dyDescent="0.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2.75" customHeight="1" x14ac:dyDescent="0.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2.75" customHeight="1" x14ac:dyDescent="0.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2.75" customHeight="1" x14ac:dyDescent="0.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2.75" customHeight="1" x14ac:dyDescent="0.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2.75" customHeight="1" x14ac:dyDescent="0.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2.75" customHeight="1" x14ac:dyDescent="0.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2.75" customHeight="1" x14ac:dyDescent="0.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2.75" customHeight="1" x14ac:dyDescent="0.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2.75" customHeight="1" x14ac:dyDescent="0.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2.75" customHeight="1" x14ac:dyDescent="0.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2.75" customHeight="1" x14ac:dyDescent="0.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2.75" customHeight="1" x14ac:dyDescent="0.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2.75" customHeight="1" x14ac:dyDescent="0.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2.75" customHeight="1" x14ac:dyDescent="0.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2.75" customHeight="1" x14ac:dyDescent="0.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2.75" customHeight="1" x14ac:dyDescent="0.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2.75" customHeight="1" x14ac:dyDescent="0.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2.75" customHeight="1" x14ac:dyDescent="0.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2.75" customHeight="1" x14ac:dyDescent="0.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2.75" customHeight="1" x14ac:dyDescent="0.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2.75" customHeight="1" x14ac:dyDescent="0.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2.75" customHeight="1" x14ac:dyDescent="0.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2.75" customHeight="1" x14ac:dyDescent="0.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2.75" customHeight="1" x14ac:dyDescent="0.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2.75" customHeight="1" x14ac:dyDescent="0.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2.75" customHeight="1" x14ac:dyDescent="0.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2.75" customHeight="1" x14ac:dyDescent="0.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2.75" customHeight="1" x14ac:dyDescent="0.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2.75" customHeight="1" x14ac:dyDescent="0.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2.75" customHeight="1" x14ac:dyDescent="0.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2.75" customHeight="1" x14ac:dyDescent="0.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2.75" customHeight="1" x14ac:dyDescent="0.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2.75" customHeight="1" x14ac:dyDescent="0.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2.75" customHeight="1" x14ac:dyDescent="0.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2.75" customHeight="1" x14ac:dyDescent="0.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2.75" customHeight="1" x14ac:dyDescent="0.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2.75" customHeight="1" x14ac:dyDescent="0.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2.75" customHeight="1" x14ac:dyDescent="0.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2.75" customHeight="1" x14ac:dyDescent="0.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2.75" customHeight="1" x14ac:dyDescent="0.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2.75" customHeight="1" x14ac:dyDescent="0.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2.75" customHeight="1" x14ac:dyDescent="0.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2.75" customHeight="1" x14ac:dyDescent="0.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2.75" customHeight="1" x14ac:dyDescent="0.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2.75" customHeight="1" x14ac:dyDescent="0.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2.75" customHeight="1" x14ac:dyDescent="0.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2.75" customHeight="1" x14ac:dyDescent="0.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2.75" customHeight="1" x14ac:dyDescent="0.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2.75" customHeight="1" x14ac:dyDescent="0.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2.75" customHeight="1" x14ac:dyDescent="0.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2.75" customHeight="1" x14ac:dyDescent="0.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2.75" customHeight="1" x14ac:dyDescent="0.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2.75" customHeight="1" x14ac:dyDescent="0.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2.75" customHeight="1" x14ac:dyDescent="0.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2.75" customHeight="1" x14ac:dyDescent="0.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2.75" customHeight="1" x14ac:dyDescent="0.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2.75" customHeight="1" x14ac:dyDescent="0.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2.75" customHeight="1" x14ac:dyDescent="0.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2.75" customHeight="1" x14ac:dyDescent="0.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2.75" customHeight="1" x14ac:dyDescent="0.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2.75" customHeight="1" x14ac:dyDescent="0.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2.75" customHeight="1" x14ac:dyDescent="0.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2.75" customHeight="1" x14ac:dyDescent="0.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2.75" customHeight="1" x14ac:dyDescent="0.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2.75" customHeight="1" x14ac:dyDescent="0.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2.75" customHeight="1" x14ac:dyDescent="0.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2.75" customHeight="1" x14ac:dyDescent="0.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2.75" customHeight="1" x14ac:dyDescent="0.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2.75" customHeight="1" x14ac:dyDescent="0.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2.75" customHeight="1" x14ac:dyDescent="0.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2.75" customHeight="1" x14ac:dyDescent="0.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2.75" customHeight="1" x14ac:dyDescent="0.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2.75" customHeight="1" x14ac:dyDescent="0.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2.75" customHeight="1" x14ac:dyDescent="0.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2.75" customHeight="1" x14ac:dyDescent="0.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2.75" customHeight="1" x14ac:dyDescent="0.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2.75" customHeight="1" x14ac:dyDescent="0.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2.75" customHeight="1" x14ac:dyDescent="0.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2.75" customHeight="1" x14ac:dyDescent="0.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2.75" customHeight="1" x14ac:dyDescent="0.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2.75" customHeight="1" x14ac:dyDescent="0.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2.75" customHeight="1" x14ac:dyDescent="0.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2.75" customHeight="1" x14ac:dyDescent="0.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2.75" customHeight="1" x14ac:dyDescent="0.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2.75" customHeight="1" x14ac:dyDescent="0.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2.75" customHeight="1" x14ac:dyDescent="0.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2.75" customHeight="1" x14ac:dyDescent="0.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2.75" customHeight="1" x14ac:dyDescent="0.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2.75" customHeight="1" x14ac:dyDescent="0.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2.75" customHeight="1" x14ac:dyDescent="0.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2.75" customHeight="1" x14ac:dyDescent="0.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2.75" customHeight="1" x14ac:dyDescent="0.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2.75" customHeight="1" x14ac:dyDescent="0.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2.75" customHeight="1" x14ac:dyDescent="0.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2.75" customHeight="1" x14ac:dyDescent="0.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2.75" customHeight="1" x14ac:dyDescent="0.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2.75" customHeight="1" x14ac:dyDescent="0.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2.75" customHeight="1" x14ac:dyDescent="0.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2.75" customHeight="1" x14ac:dyDescent="0.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2.75" customHeight="1" x14ac:dyDescent="0.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2.75" customHeight="1" x14ac:dyDescent="0.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2.75" customHeight="1" x14ac:dyDescent="0.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2.75" customHeight="1" x14ac:dyDescent="0.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2.75" customHeight="1" x14ac:dyDescent="0.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2.75" customHeight="1" x14ac:dyDescent="0.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2.75" customHeight="1" x14ac:dyDescent="0.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2.75" customHeight="1" x14ac:dyDescent="0.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2.75" customHeight="1" x14ac:dyDescent="0.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2.75" customHeight="1" x14ac:dyDescent="0.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2.75" customHeight="1" x14ac:dyDescent="0.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2.75" customHeight="1" x14ac:dyDescent="0.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2.75" customHeight="1" x14ac:dyDescent="0.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2.75" customHeight="1" x14ac:dyDescent="0.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2.75" customHeight="1" x14ac:dyDescent="0.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2.75" customHeight="1" x14ac:dyDescent="0.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2.75" customHeight="1" x14ac:dyDescent="0.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2.75" customHeight="1" x14ac:dyDescent="0.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2.75" customHeight="1" x14ac:dyDescent="0.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2.75" customHeight="1" x14ac:dyDescent="0.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2.75" customHeight="1" x14ac:dyDescent="0.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2.75" customHeight="1" x14ac:dyDescent="0.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2.75" customHeight="1" x14ac:dyDescent="0.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2.75" customHeight="1" x14ac:dyDescent="0.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2.75" customHeight="1" x14ac:dyDescent="0.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2.75" customHeight="1" x14ac:dyDescent="0.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2.75" customHeight="1" x14ac:dyDescent="0.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2.75" customHeight="1" x14ac:dyDescent="0.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2.75" customHeight="1" x14ac:dyDescent="0.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2.75" customHeight="1" x14ac:dyDescent="0.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2.75" customHeight="1" x14ac:dyDescent="0.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2.75" customHeight="1" x14ac:dyDescent="0.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2.75" customHeight="1" x14ac:dyDescent="0.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2.75" customHeight="1" x14ac:dyDescent="0.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2.75" customHeight="1" x14ac:dyDescent="0.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2.75" customHeight="1" x14ac:dyDescent="0.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2.75" customHeight="1" x14ac:dyDescent="0.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2.75" customHeight="1" x14ac:dyDescent="0.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2.75" customHeight="1" x14ac:dyDescent="0.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2.75" customHeight="1" x14ac:dyDescent="0.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2.75" customHeight="1" x14ac:dyDescent="0.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2.75" customHeight="1" x14ac:dyDescent="0.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2.75" customHeight="1" x14ac:dyDescent="0.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2.75" customHeight="1" x14ac:dyDescent="0.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2.75" customHeight="1" x14ac:dyDescent="0.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2.75" customHeight="1" x14ac:dyDescent="0.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2.75" customHeight="1" x14ac:dyDescent="0.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2.75" customHeight="1" x14ac:dyDescent="0.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2.75" customHeight="1" x14ac:dyDescent="0.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2.75" customHeight="1" x14ac:dyDescent="0.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2.75" customHeight="1" x14ac:dyDescent="0.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2.75" customHeight="1" x14ac:dyDescent="0.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2.75" customHeight="1" x14ac:dyDescent="0.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2.75" customHeight="1" x14ac:dyDescent="0.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2.75" customHeight="1" x14ac:dyDescent="0.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2.75" customHeight="1" x14ac:dyDescent="0.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2.75" customHeight="1" x14ac:dyDescent="0.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2.75" customHeight="1" x14ac:dyDescent="0.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2.75" customHeight="1" x14ac:dyDescent="0.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2.75" customHeight="1" x14ac:dyDescent="0.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2.75" customHeight="1" x14ac:dyDescent="0.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2.75" customHeight="1" x14ac:dyDescent="0.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2.75" customHeight="1" x14ac:dyDescent="0.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2.75" customHeight="1" x14ac:dyDescent="0.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2.75" customHeight="1" x14ac:dyDescent="0.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2.75" customHeight="1" x14ac:dyDescent="0.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2.75" customHeight="1" x14ac:dyDescent="0.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2.75" customHeight="1" x14ac:dyDescent="0.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2.75" customHeight="1" x14ac:dyDescent="0.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2.75" customHeight="1" x14ac:dyDescent="0.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2.75" customHeight="1" x14ac:dyDescent="0.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2.75" customHeight="1" x14ac:dyDescent="0.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2.75" customHeight="1" x14ac:dyDescent="0.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2.75" customHeight="1" x14ac:dyDescent="0.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2.75" customHeight="1" x14ac:dyDescent="0.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2.75" customHeight="1" x14ac:dyDescent="0.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2.75" customHeight="1" x14ac:dyDescent="0.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2.75" customHeight="1" x14ac:dyDescent="0.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2.75" customHeight="1" x14ac:dyDescent="0.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2.75" customHeight="1" x14ac:dyDescent="0.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2.75" customHeight="1" x14ac:dyDescent="0.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2.75" customHeight="1" x14ac:dyDescent="0.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2.75" customHeight="1" x14ac:dyDescent="0.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2.75" customHeight="1" x14ac:dyDescent="0.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2.75" customHeight="1" x14ac:dyDescent="0.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2.75" customHeight="1" x14ac:dyDescent="0.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2.75" customHeight="1" x14ac:dyDescent="0.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2.75" customHeight="1" x14ac:dyDescent="0.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2.75" customHeight="1" x14ac:dyDescent="0.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2.75" customHeight="1" x14ac:dyDescent="0.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2.75" customHeight="1" x14ac:dyDescent="0.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2.75" customHeight="1" x14ac:dyDescent="0.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2.75" customHeight="1" x14ac:dyDescent="0.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2.75" customHeight="1" x14ac:dyDescent="0.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2.75" customHeight="1" x14ac:dyDescent="0.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2.75" customHeight="1" x14ac:dyDescent="0.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2.75" customHeight="1" x14ac:dyDescent="0.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2.75" customHeight="1" x14ac:dyDescent="0.2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2.75" customHeight="1" x14ac:dyDescent="0.2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2.75" customHeight="1" x14ac:dyDescent="0.2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2.75" customHeight="1" x14ac:dyDescent="0.2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2.75" customHeight="1" x14ac:dyDescent="0.2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2.75" customHeight="1" x14ac:dyDescent="0.2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2.75" customHeight="1" x14ac:dyDescent="0.2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2.75" customHeight="1" x14ac:dyDescent="0.2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2.75" customHeight="1" x14ac:dyDescent="0.2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2.75" customHeight="1" x14ac:dyDescent="0.2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2.75" customHeight="1" x14ac:dyDescent="0.2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2.75" customHeight="1" x14ac:dyDescent="0.2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2.75" customHeight="1" x14ac:dyDescent="0.2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2.75" customHeight="1" x14ac:dyDescent="0.2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2.75" customHeight="1" x14ac:dyDescent="0.2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2.75" customHeight="1" x14ac:dyDescent="0.2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2.75" customHeight="1" x14ac:dyDescent="0.2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2.75" customHeight="1" x14ac:dyDescent="0.2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2.75" customHeight="1" x14ac:dyDescent="0.2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2.75" customHeight="1" x14ac:dyDescent="0.2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2.75" customHeight="1" x14ac:dyDescent="0.2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2.75" customHeight="1" x14ac:dyDescent="0.2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2.75" customHeight="1" x14ac:dyDescent="0.2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2.75" customHeight="1" x14ac:dyDescent="0.2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2.75" customHeight="1" x14ac:dyDescent="0.2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2.75" customHeight="1" x14ac:dyDescent="0.2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2.75" customHeight="1" x14ac:dyDescent="0.2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2.75" customHeight="1" x14ac:dyDescent="0.2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2.75" customHeight="1" x14ac:dyDescent="0.2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2.75" customHeight="1" x14ac:dyDescent="0.2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2.75" customHeight="1" x14ac:dyDescent="0.2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2.75" customHeight="1" x14ac:dyDescent="0.2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2.75" customHeight="1" x14ac:dyDescent="0.2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2.75" customHeight="1" x14ac:dyDescent="0.2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2.75" customHeight="1" x14ac:dyDescent="0.2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2.75" customHeight="1" x14ac:dyDescent="0.2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2.75" customHeight="1" x14ac:dyDescent="0.2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2.75" customHeight="1" x14ac:dyDescent="0.2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2.75" customHeight="1" x14ac:dyDescent="0.2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2.75" customHeight="1" x14ac:dyDescent="0.2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2.75" customHeight="1" x14ac:dyDescent="0.2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2.75" customHeight="1" x14ac:dyDescent="0.2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2.75" customHeight="1" x14ac:dyDescent="0.2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2.75" customHeight="1" x14ac:dyDescent="0.2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2.75" customHeight="1" x14ac:dyDescent="0.2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2.75" customHeight="1" x14ac:dyDescent="0.2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2.75" customHeight="1" x14ac:dyDescent="0.2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2.75" customHeight="1" x14ac:dyDescent="0.2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2.75" customHeight="1" x14ac:dyDescent="0.2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2.75" customHeight="1" x14ac:dyDescent="0.2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2.75" customHeight="1" x14ac:dyDescent="0.2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2.75" customHeight="1" x14ac:dyDescent="0.2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2.75" customHeight="1" x14ac:dyDescent="0.2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2.75" customHeight="1" x14ac:dyDescent="0.2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2.75" customHeight="1" x14ac:dyDescent="0.2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2.75" customHeight="1" x14ac:dyDescent="0.2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2.75" customHeight="1" x14ac:dyDescent="0.2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2.75" customHeight="1" x14ac:dyDescent="0.2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2.75" customHeight="1" x14ac:dyDescent="0.2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2.75" customHeight="1" x14ac:dyDescent="0.2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2.75" customHeight="1" x14ac:dyDescent="0.2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2.75" customHeight="1" x14ac:dyDescent="0.2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2.75" customHeight="1" x14ac:dyDescent="0.2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2.75" customHeight="1" x14ac:dyDescent="0.2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2.75" customHeight="1" x14ac:dyDescent="0.2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2.75" customHeight="1" x14ac:dyDescent="0.2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2.75" customHeight="1" x14ac:dyDescent="0.2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2.75" customHeight="1" x14ac:dyDescent="0.2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2.75" customHeight="1" x14ac:dyDescent="0.2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2.75" customHeight="1" x14ac:dyDescent="0.2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2.75" customHeight="1" x14ac:dyDescent="0.2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2.75" customHeight="1" x14ac:dyDescent="0.2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2.75" customHeight="1" x14ac:dyDescent="0.2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2.75" customHeight="1" x14ac:dyDescent="0.2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2.75" customHeight="1" x14ac:dyDescent="0.2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2.75" customHeight="1" x14ac:dyDescent="0.2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2.75" customHeight="1" x14ac:dyDescent="0.2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2.75" customHeight="1" x14ac:dyDescent="0.2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2.75" customHeight="1" x14ac:dyDescent="0.2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2.75" customHeight="1" x14ac:dyDescent="0.2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2.75" customHeight="1" x14ac:dyDescent="0.2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2.75" customHeight="1" x14ac:dyDescent="0.2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2.75" customHeight="1" x14ac:dyDescent="0.2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2.75" customHeight="1" x14ac:dyDescent="0.2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2.75" customHeight="1" x14ac:dyDescent="0.2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2.75" customHeight="1" x14ac:dyDescent="0.2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2.75" customHeight="1" x14ac:dyDescent="0.2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2.75" customHeight="1" x14ac:dyDescent="0.2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2.75" customHeight="1" x14ac:dyDescent="0.2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2.75" customHeight="1" x14ac:dyDescent="0.2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2.75" customHeight="1" x14ac:dyDescent="0.2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2.75" customHeight="1" x14ac:dyDescent="0.2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2.75" customHeight="1" x14ac:dyDescent="0.2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2.75" customHeight="1" x14ac:dyDescent="0.2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2.75" customHeight="1" x14ac:dyDescent="0.2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2.75" customHeight="1" x14ac:dyDescent="0.2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2.75" customHeight="1" x14ac:dyDescent="0.2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2.75" customHeight="1" x14ac:dyDescent="0.2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2.75" customHeight="1" x14ac:dyDescent="0.2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2.75" customHeight="1" x14ac:dyDescent="0.2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2.75" customHeight="1" x14ac:dyDescent="0.2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2.75" customHeight="1" x14ac:dyDescent="0.2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2.75" customHeight="1" x14ac:dyDescent="0.2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2.75" customHeight="1" x14ac:dyDescent="0.2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2.75" customHeight="1" x14ac:dyDescent="0.2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2.75" customHeight="1" x14ac:dyDescent="0.2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2.75" customHeight="1" x14ac:dyDescent="0.2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2.75" customHeight="1" x14ac:dyDescent="0.2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2.75" customHeight="1" x14ac:dyDescent="0.2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2.75" customHeight="1" x14ac:dyDescent="0.2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2.75" customHeight="1" x14ac:dyDescent="0.2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2.75" customHeight="1" x14ac:dyDescent="0.2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2.75" customHeight="1" x14ac:dyDescent="0.2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2.75" customHeight="1" x14ac:dyDescent="0.2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2.75" customHeight="1" x14ac:dyDescent="0.2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2.75" customHeight="1" x14ac:dyDescent="0.2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2.75" customHeight="1" x14ac:dyDescent="0.2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2.75" customHeight="1" x14ac:dyDescent="0.2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2.75" customHeight="1" x14ac:dyDescent="0.2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2.75" customHeight="1" x14ac:dyDescent="0.2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2.75" customHeight="1" x14ac:dyDescent="0.2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2.75" customHeight="1" x14ac:dyDescent="0.2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Mentah</vt:lpstr>
      <vt:lpstr>Usulan Perbaikan</vt:lpstr>
      <vt:lpstr>Mismatch</vt:lpstr>
      <vt:lpstr>Uji Kecukupan Data</vt:lpstr>
      <vt:lpstr>Uji Keseragaman Data</vt:lpstr>
      <vt:lpstr>Uji Normalitas Data</vt:lpstr>
      <vt:lpstr>Dimensi Akhir Kursi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Taufik Fitrianto</cp:lastModifiedBy>
  <dcterms:modified xsi:type="dcterms:W3CDTF">2024-04-05T07:49:20Z</dcterms:modified>
</cp:coreProperties>
</file>