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1.KULIAH S2\_SEMESTER 1\KS\REFERENSI\"/>
    </mc:Choice>
  </mc:AlternateContent>
  <xr:revisionPtr revIDLastSave="0" documentId="13_ncr:1_{EB2D6B7A-CD9E-490D-B779-056DDCF5E940}" xr6:coauthVersionLast="47" xr6:coauthVersionMax="47" xr10:uidLastSave="{00000000-0000-0000-0000-000000000000}"/>
  <bookViews>
    <workbookView xWindow="-108" yWindow="-108" windowWidth="23256" windowHeight="12456" xr2:uid="{35AA944F-BF8B-4C24-BB8C-FB04D827D8FE}"/>
  </bookViews>
  <sheets>
    <sheet name="Spesifikasi Amfibi" sheetId="2" r:id="rId1"/>
    <sheet name="Teknis Air" sheetId="1" r:id="rId2"/>
    <sheet name="Teknis Darat" sheetId="5" r:id="rId3"/>
    <sheet name="Maxsurf Motion" sheetId="6" state="hidden" r:id="rId4"/>
    <sheet name="Construction" sheetId="3" r:id="rId5"/>
  </sheets>
  <definedNames>
    <definedName name="solver_adj" localSheetId="1" hidden="1">'Teknis Air'!$E$48</definedName>
    <definedName name="solver_adj" localSheetId="2" hidden="1">'Teknis Darat'!$P$54</definedName>
    <definedName name="solver_cvg" localSheetId="1" hidden="1">"""""""""""""""""""""""""""""""""""""""""""""""""""""""""""""""""""""""""""""""""""""""""""""""""""""""""""""""""""""""""""""""0,0001"""""""""""""""""""""""""""""""""""""""""""""""""""""""""""""""""""""""""""""""""""""""""""""""""""""""""""""""""""""""""""""""</definedName>
    <definedName name="solver_cvg" localSheetId="2" hidden="1">"0,0001"</definedName>
    <definedName name="solver_drv" localSheetId="1" hidden="1">1</definedName>
    <definedName name="solver_drv" localSheetId="2" hidden="1">1</definedName>
    <definedName name="solver_eng" localSheetId="1" hidden="1">1</definedName>
    <definedName name="solver_eng" localSheetId="2" hidden="1">1</definedName>
    <definedName name="solver_est" localSheetId="1" hidden="1">1</definedName>
    <definedName name="solver_est" localSheetId="2" hidden="1">1</definedName>
    <definedName name="solver_itr" localSheetId="1" hidden="1">2147483647</definedName>
    <definedName name="solver_itr" localSheetId="2" hidden="1">2147483647</definedName>
    <definedName name="solver_lhs1" localSheetId="2" hidden="1">'Teknis Darat'!$P$58</definedName>
    <definedName name="solver_mip" localSheetId="1" hidden="1">2147483647</definedName>
    <definedName name="solver_mip" localSheetId="2" hidden="1">2147483647</definedName>
    <definedName name="solver_mni" localSheetId="1" hidden="1">30</definedName>
    <definedName name="solver_mni" localSheetId="2" hidden="1">30</definedName>
    <definedName name="solver_mrt" localSheetId="1" hidden="1">"""""""""""""""""""""""""""""""""""""""""""""""""""""""""""""""""""""""""""""""""""""""""""""""""""""""""""""""""""""""""""""""0,075"""""""""""""""""""""""""""""""""""""""""""""""""""""""""""""""""""""""""""""""""""""""""""""""""""""""""""""""""""""""""""""""</definedName>
    <definedName name="solver_mrt" localSheetId="2" hidden="1">"0,075"</definedName>
    <definedName name="solver_msl" localSheetId="1" hidden="1">2</definedName>
    <definedName name="solver_msl" localSheetId="2" hidden="1">2</definedName>
    <definedName name="solver_neg" localSheetId="1" hidden="1">1</definedName>
    <definedName name="solver_neg" localSheetId="2" hidden="1">1</definedName>
    <definedName name="solver_nod" localSheetId="1" hidden="1">2147483647</definedName>
    <definedName name="solver_nod" localSheetId="2" hidden="1">2147483647</definedName>
    <definedName name="solver_num" localSheetId="1" hidden="1">0</definedName>
    <definedName name="solver_num" localSheetId="2" hidden="1">1</definedName>
    <definedName name="solver_nwt" localSheetId="1" hidden="1">1</definedName>
    <definedName name="solver_nwt" localSheetId="2" hidden="1">1</definedName>
    <definedName name="solver_opt" localSheetId="1" hidden="1">'Teknis Air'!#REF!</definedName>
    <definedName name="solver_opt" localSheetId="2" hidden="1">'Teknis Darat'!$P$54</definedName>
    <definedName name="solver_pre" localSheetId="1" hidden="1">"""""""""""""""""""""""""""""""""""""""""""""""""""""""""""""""""""""""""""""""""""""""""""""""""""""""""""""""""""""""""""""""0,000001"""""""""""""""""""""""""""""""""""""""""""""""""""""""""""""""""""""""""""""""""""""""""""""""""""""""""""""""""""""""""""""""</definedName>
    <definedName name="solver_pre" localSheetId="2" hidden="1">"0,000001"</definedName>
    <definedName name="solver_rbv" localSheetId="1" hidden="1">1</definedName>
    <definedName name="solver_rbv" localSheetId="2" hidden="1">1</definedName>
    <definedName name="solver_rel1" localSheetId="2" hidden="1">3</definedName>
    <definedName name="solver_rhs1" localSheetId="2" hidden="1">0</definedName>
    <definedName name="solver_rlx" localSheetId="1" hidden="1">2</definedName>
    <definedName name="solver_rlx" localSheetId="2" hidden="1">2</definedName>
    <definedName name="solver_rsd" localSheetId="1" hidden="1">0</definedName>
    <definedName name="solver_rsd" localSheetId="2" hidden="1">0</definedName>
    <definedName name="solver_scl" localSheetId="1" hidden="1">1</definedName>
    <definedName name="solver_scl" localSheetId="2" hidden="1">1</definedName>
    <definedName name="solver_sho" localSheetId="1" hidden="1">2</definedName>
    <definedName name="solver_sho" localSheetId="2" hidden="1">2</definedName>
    <definedName name="solver_ssz" localSheetId="1" hidden="1">100</definedName>
    <definedName name="solver_ssz" localSheetId="2" hidden="1">100</definedName>
    <definedName name="solver_tim" localSheetId="1" hidden="1">2147483647</definedName>
    <definedName name="solver_tim" localSheetId="2" hidden="1">2147483647</definedName>
    <definedName name="solver_tol" localSheetId="1" hidden="1">1</definedName>
    <definedName name="solver_tol" localSheetId="2" hidden="1">0.01</definedName>
    <definedName name="solver_typ" localSheetId="1" hidden="1">3</definedName>
    <definedName name="solver_typ" localSheetId="2" hidden="1">2</definedName>
    <definedName name="solver_val" localSheetId="1" hidden="1">7.085</definedName>
    <definedName name="solver_val" localSheetId="2" hidden="1">0</definedName>
    <definedName name="solver_ver" localSheetId="1" hidden="1">3</definedName>
    <definedName name="solver_ver" localSheetId="2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2" l="1"/>
  <c r="D10" i="2"/>
  <c r="D36" i="2"/>
  <c r="D38" i="2"/>
  <c r="H46" i="5"/>
  <c r="C6" i="3"/>
  <c r="C25" i="3" s="1"/>
  <c r="B5" i="1"/>
  <c r="G46" i="1"/>
  <c r="B4" i="1"/>
  <c r="B3" i="1"/>
  <c r="B2" i="1"/>
  <c r="D48" i="2"/>
  <c r="D6" i="2"/>
  <c r="H72" i="5"/>
  <c r="C72" i="5"/>
  <c r="C46" i="5"/>
  <c r="T50" i="5"/>
  <c r="T48" i="5"/>
  <c r="T49" i="5"/>
  <c r="D37" i="2" l="1"/>
  <c r="D40" i="2" s="1"/>
  <c r="C33" i="3"/>
  <c r="C21" i="3"/>
  <c r="C42" i="3" s="1"/>
  <c r="C67" i="3"/>
  <c r="C71" i="3" s="1"/>
  <c r="V50" i="5"/>
  <c r="V48" i="5"/>
  <c r="V49" i="5"/>
  <c r="P48" i="5"/>
  <c r="C82" i="5" s="1"/>
  <c r="P50" i="5"/>
  <c r="H74" i="5"/>
  <c r="H84" i="5" s="1"/>
  <c r="H71" i="5"/>
  <c r="H81" i="5" s="1"/>
  <c r="C84" i="5"/>
  <c r="C74" i="5"/>
  <c r="C71" i="5"/>
  <c r="C81" i="5" s="1"/>
  <c r="H48" i="5"/>
  <c r="H47" i="5"/>
  <c r="R47" i="5"/>
  <c r="R46" i="5"/>
  <c r="D9" i="2"/>
  <c r="C28" i="5" s="1"/>
  <c r="C45" i="5" s="1"/>
  <c r="H45" i="5" s="1"/>
  <c r="K47" i="1"/>
  <c r="L47" i="1"/>
  <c r="M47" i="1"/>
  <c r="K48" i="1"/>
  <c r="L48" i="1"/>
  <c r="M48" i="1"/>
  <c r="K49" i="1"/>
  <c r="L49" i="1"/>
  <c r="M49" i="1"/>
  <c r="K50" i="1"/>
  <c r="L50" i="1"/>
  <c r="M50" i="1"/>
  <c r="L46" i="1"/>
  <c r="K46" i="1"/>
  <c r="I47" i="1"/>
  <c r="I48" i="1"/>
  <c r="M46" i="1"/>
  <c r="B29" i="1"/>
  <c r="B27" i="1"/>
  <c r="B25" i="1"/>
  <c r="B53" i="1"/>
  <c r="F53" i="1" s="1"/>
  <c r="C37" i="3"/>
  <c r="B84" i="1"/>
  <c r="B83" i="1"/>
  <c r="B85" i="1" s="1"/>
  <c r="C50" i="1"/>
  <c r="D50" i="1" s="1"/>
  <c r="B16" i="1"/>
  <c r="D16" i="1" s="1"/>
  <c r="B10" i="1"/>
  <c r="D10" i="1" s="1"/>
  <c r="C49" i="1"/>
  <c r="D49" i="1" s="1"/>
  <c r="B68" i="1"/>
  <c r="B67" i="1"/>
  <c r="D47" i="1"/>
  <c r="C11" i="5"/>
  <c r="C7" i="5"/>
  <c r="C3" i="5" s="1"/>
  <c r="B66" i="1"/>
  <c r="D14" i="2"/>
  <c r="C47" i="3"/>
  <c r="B75" i="1" s="1"/>
  <c r="C15" i="5" l="1"/>
  <c r="H44" i="5" s="1"/>
  <c r="H43" i="5" s="1"/>
  <c r="D29" i="2" s="1"/>
  <c r="H82" i="5"/>
  <c r="C53" i="5"/>
  <c r="H53" i="5" s="1"/>
  <c r="C61" i="5" s="1"/>
  <c r="B74" i="1"/>
  <c r="D74" i="1" s="1"/>
  <c r="B76" i="1"/>
  <c r="D76" i="1" s="1"/>
  <c r="I50" i="1"/>
  <c r="I49" i="1"/>
  <c r="B30" i="1"/>
  <c r="H77" i="1"/>
  <c r="B37" i="1"/>
  <c r="C4" i="3"/>
  <c r="C5" i="3" s="1"/>
  <c r="D15" i="2"/>
  <c r="C7" i="3"/>
  <c r="D75" i="1"/>
  <c r="B87" i="1"/>
  <c r="C51" i="3" l="1"/>
  <c r="C55" i="3"/>
  <c r="B89" i="1" s="1"/>
  <c r="C59" i="3"/>
  <c r="B90" i="1" s="1"/>
  <c r="D90" i="1" s="1"/>
  <c r="C63" i="3"/>
  <c r="B91" i="1" s="1"/>
  <c r="D91" i="1" s="1"/>
  <c r="C95" i="3"/>
  <c r="B93" i="1" s="1"/>
  <c r="D93" i="1" s="1"/>
  <c r="C107" i="3"/>
  <c r="B95" i="1" s="1"/>
  <c r="D95" i="1" s="1"/>
  <c r="C111" i="3"/>
  <c r="C80" i="3"/>
  <c r="C81" i="3" s="1"/>
  <c r="B96" i="1"/>
  <c r="D96" i="1" s="1"/>
  <c r="C76" i="3"/>
  <c r="C77" i="3" s="1"/>
  <c r="C99" i="3"/>
  <c r="B92" i="1" s="1"/>
  <c r="D92" i="1" s="1"/>
  <c r="C69" i="3"/>
  <c r="C72" i="3" s="1"/>
  <c r="C87" i="3"/>
  <c r="C103" i="3"/>
  <c r="C91" i="3"/>
  <c r="B94" i="1" s="1"/>
  <c r="D94" i="1" s="1"/>
  <c r="C86" i="3"/>
  <c r="B48" i="1"/>
  <c r="D48" i="1" s="1"/>
  <c r="B32" i="1"/>
  <c r="D35" i="2" s="1"/>
  <c r="B79" i="1"/>
  <c r="D79" i="1" s="1"/>
  <c r="B78" i="1"/>
  <c r="D78" i="1" s="1"/>
  <c r="C16" i="3"/>
  <c r="F77" i="1" s="1"/>
  <c r="C17" i="3"/>
  <c r="B77" i="1" s="1"/>
  <c r="H61" i="5"/>
  <c r="H73" i="5" s="1"/>
  <c r="H83" i="5" s="1"/>
  <c r="C73" i="5"/>
  <c r="C83" i="5" s="1"/>
  <c r="B80" i="1"/>
  <c r="D80" i="1" s="1"/>
  <c r="C29" i="3"/>
  <c r="C3" i="3"/>
  <c r="C11" i="3" s="1"/>
  <c r="B34" i="1"/>
  <c r="B86" i="1"/>
  <c r="B73" i="1" l="1"/>
  <c r="D73" i="1" s="1"/>
  <c r="B72" i="1"/>
  <c r="D72" i="1" s="1"/>
  <c r="B97" i="1"/>
  <c r="D97" i="1" s="1"/>
  <c r="D77" i="1"/>
  <c r="H63" i="5"/>
  <c r="H80" i="5" s="1"/>
  <c r="H79" i="5" s="1"/>
  <c r="C63" i="5"/>
  <c r="C80" i="5" s="1"/>
  <c r="B71" i="1"/>
  <c r="D71" i="1" s="1"/>
  <c r="B88" i="1"/>
  <c r="D88" i="1" s="1"/>
  <c r="B38" i="1"/>
  <c r="D89" i="1"/>
  <c r="C79" i="5" l="1"/>
  <c r="C46" i="1"/>
  <c r="D46" i="1" l="1"/>
  <c r="B56" i="1" s="1"/>
  <c r="F56" i="1" s="1"/>
  <c r="I46" i="1"/>
  <c r="B54" i="1" l="1"/>
  <c r="B55" i="1" s="1"/>
  <c r="B58" i="1"/>
  <c r="B59" i="1"/>
  <c r="F59" i="1" s="1"/>
  <c r="C19" i="5" l="1"/>
  <c r="C44" i="5" s="1"/>
  <c r="C43" i="5" s="1"/>
  <c r="C23" i="5" l="1"/>
  <c r="C32" i="5" s="1"/>
  <c r="C55" i="5"/>
  <c r="C52" i="5" s="1"/>
  <c r="D28" i="2"/>
  <c r="H60" i="5"/>
  <c r="D41" i="2" s="1"/>
  <c r="C60" i="5"/>
  <c r="P56" i="5" s="1"/>
  <c r="C27" i="5" l="1"/>
  <c r="C70" i="5"/>
  <c r="C69" i="5" s="1"/>
  <c r="H55" i="5"/>
  <c r="H70" i="5" s="1"/>
  <c r="H69" i="5" s="1"/>
  <c r="C37" i="5"/>
  <c r="C38" i="5" s="1"/>
  <c r="C33" i="5"/>
  <c r="H52" i="5" l="1"/>
  <c r="P55" i="5" s="1"/>
  <c r="P58" i="5" s="1"/>
  <c r="B39" i="1"/>
  <c r="B40" i="1" s="1"/>
  <c r="B42" i="1" l="1"/>
</calcChain>
</file>

<file path=xl/sharedStrings.xml><?xml version="1.0" encoding="utf-8"?>
<sst xmlns="http://schemas.openxmlformats.org/spreadsheetml/2006/main" count="636" uniqueCount="274">
  <si>
    <t>Surface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</si>
  <si>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</si>
  <si>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Massa Jenis</t>
  </si>
  <si>
    <r>
      <t>kg/m</t>
    </r>
    <r>
      <rPr>
        <vertAlign val="superscript"/>
        <sz val="11"/>
        <color theme="1"/>
        <rFont val="Calibri"/>
        <family val="2"/>
        <scheme val="minor"/>
      </rPr>
      <t>3</t>
    </r>
  </si>
  <si>
    <t>Satuan</t>
  </si>
  <si>
    <t xml:space="preserve">Komponen </t>
  </si>
  <si>
    <t>Total (kg)</t>
  </si>
  <si>
    <t>Berat Konstruksi</t>
  </si>
  <si>
    <t>Berat Satuan (kg)</t>
  </si>
  <si>
    <t>Baterai</t>
  </si>
  <si>
    <t>Dimensi</t>
  </si>
  <si>
    <t>mm</t>
  </si>
  <si>
    <t>Kecepatan</t>
  </si>
  <si>
    <t>km/h</t>
  </si>
  <si>
    <t>Jarak</t>
  </si>
  <si>
    <t>km</t>
  </si>
  <si>
    <t>X</t>
  </si>
  <si>
    <t>Y</t>
  </si>
  <si>
    <t>Z</t>
  </si>
  <si>
    <t>ton</t>
  </si>
  <si>
    <t>PERHITUNGAN BERAT KONSTRUKSI</t>
  </si>
  <si>
    <t>Person</t>
  </si>
  <si>
    <t>PERHITUNGAN BATERAI</t>
  </si>
  <si>
    <t>baterai</t>
  </si>
  <si>
    <t>Pemilihan</t>
  </si>
  <si>
    <t>Total Daya</t>
  </si>
  <si>
    <t>PERHITUNGAN JARAK TEMPUH</t>
  </si>
  <si>
    <t>Daya</t>
  </si>
  <si>
    <t>Jarak Terjauh</t>
  </si>
  <si>
    <t>n pulang-pergi</t>
  </si>
  <si>
    <t>kali</t>
  </si>
  <si>
    <t>a</t>
  </si>
  <si>
    <t>L</t>
  </si>
  <si>
    <t>T</t>
  </si>
  <si>
    <t>h</t>
  </si>
  <si>
    <t>l</t>
  </si>
  <si>
    <t>Jarak Gading</t>
  </si>
  <si>
    <t>Sarat</t>
  </si>
  <si>
    <t>Panjang</t>
  </si>
  <si>
    <t>Jumlah Penumpang</t>
  </si>
  <si>
    <t>Durasi</t>
  </si>
  <si>
    <t>:</t>
  </si>
  <si>
    <t>Motor Listrik</t>
  </si>
  <si>
    <t>kAH</t>
  </si>
  <si>
    <t>Jam</t>
  </si>
  <si>
    <t>Perhitungan Kekuatan Memanjang</t>
  </si>
  <si>
    <t>W</t>
  </si>
  <si>
    <t>=</t>
  </si>
  <si>
    <t>C</t>
  </si>
  <si>
    <t>B</t>
  </si>
  <si>
    <t>Should Less than 44</t>
  </si>
  <si>
    <r>
      <t>cm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</si>
  <si>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cm</t>
    </r>
    <r>
      <rPr>
        <vertAlign val="superscript"/>
        <sz val="10"/>
        <color theme="1"/>
        <rFont val="Calibri"/>
        <family val="2"/>
        <scheme val="minor"/>
      </rPr>
      <t>3</t>
    </r>
  </si>
  <si>
    <t>Perhitungan Inersia Midship</t>
  </si>
  <si>
    <t>I</t>
  </si>
  <si>
    <r>
      <t>cm</t>
    </r>
    <r>
      <rPr>
        <vertAlign val="superscript"/>
        <sz val="11"/>
        <color theme="1"/>
        <rFont val="Calibri"/>
        <family val="2"/>
        <scheme val="minor"/>
      </rPr>
      <t>4</t>
    </r>
  </si>
  <si>
    <t>Perhitungan Keel</t>
  </si>
  <si>
    <t>b</t>
  </si>
  <si>
    <t>tk</t>
  </si>
  <si>
    <t>ts</t>
  </si>
  <si>
    <t>Sideshell for Midship</t>
  </si>
  <si>
    <t>Bottomshell of Single Skin</t>
  </si>
  <si>
    <t>tb</t>
  </si>
  <si>
    <t>Thickness Shell End Part</t>
  </si>
  <si>
    <t>t</t>
  </si>
  <si>
    <t>Shell Bottom Forward</t>
  </si>
  <si>
    <t>tBF</t>
  </si>
  <si>
    <t>Shell Superstructure</t>
  </si>
  <si>
    <t>Thickness Deck</t>
  </si>
  <si>
    <t>tD</t>
  </si>
  <si>
    <t>Distance to top plate</t>
  </si>
  <si>
    <t>Midship Transverse Frame</t>
  </si>
  <si>
    <t>Fore Transverse Frame</t>
  </si>
  <si>
    <t>Side Longitudinal</t>
  </si>
  <si>
    <t>Distance to upper deck</t>
  </si>
  <si>
    <t>Centre Girder</t>
  </si>
  <si>
    <t>Af</t>
  </si>
  <si>
    <r>
      <t>mm</t>
    </r>
    <r>
      <rPr>
        <vertAlign val="superscript"/>
        <sz val="11"/>
        <color theme="1"/>
        <rFont val="Calibri"/>
        <family val="2"/>
        <scheme val="minor"/>
      </rPr>
      <t>2</t>
    </r>
  </si>
  <si>
    <t>t ER</t>
  </si>
  <si>
    <t>t AF</t>
  </si>
  <si>
    <t>Side Girder</t>
  </si>
  <si>
    <t>tf</t>
  </si>
  <si>
    <t>t other</t>
  </si>
  <si>
    <t>t mid</t>
  </si>
  <si>
    <t>tf mid</t>
  </si>
  <si>
    <t>tf other</t>
  </si>
  <si>
    <t>Floors</t>
  </si>
  <si>
    <t>Section Modulus of Floors</t>
  </si>
  <si>
    <t>Bottom Longitudinal</t>
  </si>
  <si>
    <t>Jarak Transverse</t>
  </si>
  <si>
    <t>Innerbottom</t>
  </si>
  <si>
    <t>Beam</t>
  </si>
  <si>
    <t>Deck Girder</t>
  </si>
  <si>
    <t>Collision Bulkhead</t>
  </si>
  <si>
    <t>Bulkhead Stiffener</t>
  </si>
  <si>
    <t>Girder Bulkhead</t>
  </si>
  <si>
    <t>Shell Midship</t>
  </si>
  <si>
    <t>Shell After</t>
  </si>
  <si>
    <t>Shell Fore</t>
  </si>
  <si>
    <t>Bottom Keel</t>
  </si>
  <si>
    <t>Deck After</t>
  </si>
  <si>
    <t>Deck Midship</t>
  </si>
  <si>
    <t>Deck Fore</t>
  </si>
  <si>
    <t>Bottom After</t>
  </si>
  <si>
    <t>Bottom Fore</t>
  </si>
  <si>
    <t>Bulkhead</t>
  </si>
  <si>
    <t>Transverse After</t>
  </si>
  <si>
    <t>Transverse Midship</t>
  </si>
  <si>
    <t>Transverse Fore</t>
  </si>
  <si>
    <r>
      <t>cm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/>
    </r>
  </si>
  <si>
    <t>Floor</t>
  </si>
  <si>
    <t>t Girder</t>
  </si>
  <si>
    <t>t Side Girder</t>
  </si>
  <si>
    <t>After (0.1L)</t>
  </si>
  <si>
    <t>Berat (kg)</t>
  </si>
  <si>
    <t>width</t>
  </si>
  <si>
    <t>Jumlah Transverse (L/a)</t>
  </si>
  <si>
    <t>Jumlah Longitudinal (B/a)</t>
  </si>
  <si>
    <t>Transverse Aft</t>
  </si>
  <si>
    <t>Transverse Mid</t>
  </si>
  <si>
    <t>Ra</t>
  </si>
  <si>
    <t>Gaya Hambat Angin</t>
  </si>
  <si>
    <t>Cd</t>
  </si>
  <si>
    <t>Va</t>
  </si>
  <si>
    <t>Ro</t>
  </si>
  <si>
    <t>m/s</t>
  </si>
  <si>
    <t>Newton</t>
  </si>
  <si>
    <t>fr</t>
  </si>
  <si>
    <t>fo</t>
  </si>
  <si>
    <t>fs</t>
  </si>
  <si>
    <t>Gaya Hambat Rolling</t>
  </si>
  <si>
    <t>Rr</t>
  </si>
  <si>
    <t>Torsi</t>
  </si>
  <si>
    <t>Tp</t>
  </si>
  <si>
    <t>R</t>
  </si>
  <si>
    <t>Diameter Ban</t>
  </si>
  <si>
    <t>Nm</t>
  </si>
  <si>
    <t>Hambatan Total</t>
  </si>
  <si>
    <t>Fr</t>
  </si>
  <si>
    <t>Gaya Tanjakan</t>
  </si>
  <si>
    <t>Rg</t>
  </si>
  <si>
    <t>Tanjakan Maksimal</t>
  </si>
  <si>
    <t>P</t>
  </si>
  <si>
    <t>Watt</t>
  </si>
  <si>
    <t>Daya Motor Listrik</t>
  </si>
  <si>
    <t>Pm</t>
  </si>
  <si>
    <t>Edt</t>
  </si>
  <si>
    <t>kW</t>
  </si>
  <si>
    <t>Speed</t>
  </si>
  <si>
    <t>Efisiensi</t>
  </si>
  <si>
    <t>Power</t>
  </si>
  <si>
    <t>Kebutuhan</t>
  </si>
  <si>
    <t>Berat</t>
  </si>
  <si>
    <t>kg</t>
  </si>
  <si>
    <t>Propulsi</t>
  </si>
  <si>
    <t>SPESIFIKASI TEBAL LAMINASI</t>
  </si>
  <si>
    <t>SPESIFIKASI DIMENSI KONSTRUKSI</t>
  </si>
  <si>
    <t>H210xB353xL700</t>
  </si>
  <si>
    <t>Jumlah Keseluruhan</t>
  </si>
  <si>
    <t>Ah</t>
  </si>
  <si>
    <t>Kapasitas per Baterai</t>
  </si>
  <si>
    <t>kWh</t>
  </si>
  <si>
    <t>Daya per Baterai</t>
  </si>
  <si>
    <t>Midship (0.8L)</t>
  </si>
  <si>
    <t>Fore (0.1L)</t>
  </si>
  <si>
    <t>Displacement</t>
  </si>
  <si>
    <t>Tipe</t>
  </si>
  <si>
    <t>350X</t>
  </si>
  <si>
    <t>PEMILIHAN PROPULSOR</t>
  </si>
  <si>
    <t>PEMILIHAN MOTOR LISTRIK</t>
  </si>
  <si>
    <t>Frame</t>
  </si>
  <si>
    <t>PERHITUNGAN HAMBATAN</t>
  </si>
  <si>
    <t>Selisih</t>
  </si>
  <si>
    <t>PEHITUNGAN BERAT</t>
  </si>
  <si>
    <t>PERHITUNGAN GAYA APUNG</t>
  </si>
  <si>
    <t>Hour</t>
  </si>
  <si>
    <t>Lebar</t>
  </si>
  <si>
    <t>Tinggi</t>
  </si>
  <si>
    <t>AFT Area</t>
  </si>
  <si>
    <t>Jumlah</t>
  </si>
  <si>
    <t>Mid Area</t>
  </si>
  <si>
    <t>Fore Area</t>
  </si>
  <si>
    <t>Berat Kapal Kosong</t>
  </si>
  <si>
    <t>LCB</t>
  </si>
  <si>
    <t>LCG</t>
  </si>
  <si>
    <t>VCG</t>
  </si>
  <si>
    <t>Following</t>
  </si>
  <si>
    <t>0,0</t>
  </si>
  <si>
    <t>Quarter</t>
  </si>
  <si>
    <t>45,0</t>
  </si>
  <si>
    <t>90,0</t>
  </si>
  <si>
    <t>135,0</t>
  </si>
  <si>
    <t>Headsea</t>
  </si>
  <si>
    <t>180,0</t>
  </si>
  <si>
    <t>225,0</t>
  </si>
  <si>
    <t>270,0</t>
  </si>
  <si>
    <t>315,0</t>
  </si>
  <si>
    <t>359,0</t>
  </si>
  <si>
    <t>Full</t>
  </si>
  <si>
    <t>Half</t>
  </si>
  <si>
    <t>Low</t>
  </si>
  <si>
    <t>Total Kapasitas</t>
  </si>
  <si>
    <t>kAh</t>
  </si>
  <si>
    <t>i1</t>
  </si>
  <si>
    <t>Ft</t>
  </si>
  <si>
    <t>r</t>
  </si>
  <si>
    <t>Tm</t>
  </si>
  <si>
    <t>id</t>
  </si>
  <si>
    <t>eff(t)</t>
  </si>
  <si>
    <t>Ig</t>
  </si>
  <si>
    <t>m</t>
  </si>
  <si>
    <t>Nb</t>
  </si>
  <si>
    <t>Itn</t>
  </si>
  <si>
    <t>Tmmax</t>
  </si>
  <si>
    <t>(referensi)</t>
  </si>
  <si>
    <t>rpm</t>
  </si>
  <si>
    <t>rad/s</t>
  </si>
  <si>
    <t>N</t>
  </si>
  <si>
    <t>(tanpa differential)</t>
  </si>
  <si>
    <t>(referensi jurnal)</t>
  </si>
  <si>
    <t>i2</t>
  </si>
  <si>
    <t>V1b</t>
  </si>
  <si>
    <t>Kecepatan Dasar (Gigi 1)</t>
  </si>
  <si>
    <t>Kecepatan Maksimal (Gigi 1)</t>
  </si>
  <si>
    <t>V1max</t>
  </si>
  <si>
    <t>Kecepatan Dasar (Gigi 2)</t>
  </si>
  <si>
    <t>Kecepatan Maksimal (Gigi 2)</t>
  </si>
  <si>
    <t>Sistem Transmisi Kendaraan (Gigi 1)</t>
  </si>
  <si>
    <t>Sistem Transmisi Kendaraan (Gigi 2)</t>
  </si>
  <si>
    <t>Ft1max</t>
  </si>
  <si>
    <t>Ft1min</t>
  </si>
  <si>
    <t>Tmmin</t>
  </si>
  <si>
    <t>Perhitungan Traksi min (Gigi 2)</t>
  </si>
  <si>
    <t>Perhitungan Traksi max (Gigi 1)</t>
  </si>
  <si>
    <t>Perhitungan Traksi max (Gigi 2)</t>
  </si>
  <si>
    <t>Ft2max</t>
  </si>
  <si>
    <t>Ft2min</t>
  </si>
  <si>
    <t>Kebutuhan Torsi</t>
  </si>
  <si>
    <t>Daya Ketika Menanjak</t>
  </si>
  <si>
    <t>Torsi awal</t>
  </si>
  <si>
    <t>Perhitungan Transi min (Gigi 1)</t>
  </si>
  <si>
    <t>Torsi akhir</t>
  </si>
  <si>
    <t>Platform</t>
  </si>
  <si>
    <t>H</t>
  </si>
  <si>
    <t>Penggerak</t>
  </si>
  <si>
    <t>Electric Motor</t>
  </si>
  <si>
    <t>Koefisien Block</t>
  </si>
  <si>
    <t>Free to H</t>
  </si>
  <si>
    <t>Waterjet Propulsion</t>
  </si>
  <si>
    <t>Jari-Jari Ban</t>
  </si>
  <si>
    <t>Penggerak Darat</t>
  </si>
  <si>
    <t>Transmisi 1st</t>
  </si>
  <si>
    <t>Transmisi 2st</t>
  </si>
  <si>
    <t>derajat</t>
  </si>
  <si>
    <t>Kecepatan Desain Normal</t>
  </si>
  <si>
    <t>Kecepatan Desain Menanjak</t>
  </si>
  <si>
    <t>Kapasitas</t>
  </si>
  <si>
    <t>Durasi hingga habis</t>
  </si>
  <si>
    <t>Motor</t>
  </si>
  <si>
    <t>Total Power</t>
  </si>
  <si>
    <t>Quantity</t>
  </si>
  <si>
    <t>Air</t>
  </si>
  <si>
    <t>Efficiency</t>
  </si>
  <si>
    <t>Power Prediction</t>
  </si>
  <si>
    <t>Type</t>
  </si>
  <si>
    <t>Weight</t>
  </si>
  <si>
    <t>Konstruksi</t>
  </si>
  <si>
    <t>e</t>
  </si>
  <si>
    <t>Kecepatan Air</t>
  </si>
  <si>
    <t>Kecepatan Darat</t>
  </si>
  <si>
    <t>Jarak Air</t>
  </si>
  <si>
    <t>Jarak Darat</t>
  </si>
  <si>
    <t>Berat Platform</t>
  </si>
  <si>
    <t>Ketarangan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</si>
</sst>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0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justify" vertic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2" fillId="0" borderId="0" xfId="0" applyFont="1"/>
    <xf numFmtId="0" fontId="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0" xfId="0" applyNumberFormat="1"/>
    <xf numFmtId="0" fontId="0" fillId="0" borderId="0" xfId="0" applyFont="1"/>
    <xf numFmtId="0" fontId="3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1" xfId="0" applyFill="1" applyBorder="1" applyAlignment="1"/>
    <xf numFmtId="0" fontId="0" fillId="0" borderId="0" xfId="0" applyBorder="1"/>
    <xf numFmtId="0" fontId="2" fillId="0" borderId="0" xfId="0" applyFont="1" applyBorder="1" applyAlignment="1">
      <alignment horizontal="center"/>
    </xf>
    <xf numFmtId="164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1" fontId="0" fillId="0" borderId="5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3" fontId="0" fillId="0" borderId="0" xfId="0" applyNumberFormat="1" applyAlignment="1">
      <alignment horizontal="left"/>
    </xf>
    <xf numFmtId="0" fontId="0" fillId="0" borderId="1" xfId="0" applyBorder="1" applyAlignment="1">
      <alignment horizontal="center"/>
    </xf>
    <xf numFmtId="2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1" fontId="0" fillId="0" borderId="4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13" Type="http://schemas.openxmlformats.org/officeDocument/2006/relationships/image" Target="../media/image16.png"/><Relationship Id="rId18" Type="http://schemas.openxmlformats.org/officeDocument/2006/relationships/image" Target="../media/image21.png"/><Relationship Id="rId26" Type="http://schemas.openxmlformats.org/officeDocument/2006/relationships/image" Target="../media/image29.png"/><Relationship Id="rId3" Type="http://schemas.openxmlformats.org/officeDocument/2006/relationships/image" Target="../media/image7.png"/><Relationship Id="rId21" Type="http://schemas.openxmlformats.org/officeDocument/2006/relationships/image" Target="../media/image24.png"/><Relationship Id="rId7" Type="http://schemas.openxmlformats.org/officeDocument/2006/relationships/image" Target="../media/image11.png"/><Relationship Id="rId12" Type="http://schemas.openxmlformats.org/officeDocument/2006/relationships/image" Target="../media/image1.png"/><Relationship Id="rId17" Type="http://schemas.openxmlformats.org/officeDocument/2006/relationships/image" Target="../media/image20.png"/><Relationship Id="rId25" Type="http://schemas.openxmlformats.org/officeDocument/2006/relationships/image" Target="../media/image28.png"/><Relationship Id="rId2" Type="http://schemas.openxmlformats.org/officeDocument/2006/relationships/image" Target="../media/image6.png"/><Relationship Id="rId16" Type="http://schemas.openxmlformats.org/officeDocument/2006/relationships/image" Target="../media/image19.png"/><Relationship Id="rId20" Type="http://schemas.openxmlformats.org/officeDocument/2006/relationships/image" Target="../media/image23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11" Type="http://schemas.openxmlformats.org/officeDocument/2006/relationships/image" Target="../media/image15.png"/><Relationship Id="rId24" Type="http://schemas.openxmlformats.org/officeDocument/2006/relationships/image" Target="../media/image27.png"/><Relationship Id="rId5" Type="http://schemas.openxmlformats.org/officeDocument/2006/relationships/image" Target="../media/image9.png"/><Relationship Id="rId15" Type="http://schemas.openxmlformats.org/officeDocument/2006/relationships/image" Target="../media/image18.png"/><Relationship Id="rId23" Type="http://schemas.openxmlformats.org/officeDocument/2006/relationships/image" Target="../media/image26.png"/><Relationship Id="rId10" Type="http://schemas.openxmlformats.org/officeDocument/2006/relationships/image" Target="../media/image14.png"/><Relationship Id="rId19" Type="http://schemas.openxmlformats.org/officeDocument/2006/relationships/image" Target="../media/image22.png"/><Relationship Id="rId4" Type="http://schemas.openxmlformats.org/officeDocument/2006/relationships/image" Target="../media/image8.png"/><Relationship Id="rId9" Type="http://schemas.openxmlformats.org/officeDocument/2006/relationships/image" Target="../media/image13.png"/><Relationship Id="rId14" Type="http://schemas.openxmlformats.org/officeDocument/2006/relationships/image" Target="../media/image17.png"/><Relationship Id="rId22" Type="http://schemas.openxmlformats.org/officeDocument/2006/relationships/image" Target="../media/image2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.png"/><Relationship Id="rId13" Type="http://schemas.openxmlformats.org/officeDocument/2006/relationships/image" Target="../media/image42.png"/><Relationship Id="rId18" Type="http://schemas.openxmlformats.org/officeDocument/2006/relationships/image" Target="../media/image47.png"/><Relationship Id="rId26" Type="http://schemas.openxmlformats.org/officeDocument/2006/relationships/image" Target="../media/image55.png"/><Relationship Id="rId3" Type="http://schemas.openxmlformats.org/officeDocument/2006/relationships/image" Target="../media/image32.png"/><Relationship Id="rId21" Type="http://schemas.openxmlformats.org/officeDocument/2006/relationships/image" Target="../media/image50.png"/><Relationship Id="rId7" Type="http://schemas.openxmlformats.org/officeDocument/2006/relationships/image" Target="../media/image36.png"/><Relationship Id="rId12" Type="http://schemas.openxmlformats.org/officeDocument/2006/relationships/image" Target="../media/image41.png"/><Relationship Id="rId17" Type="http://schemas.openxmlformats.org/officeDocument/2006/relationships/image" Target="../media/image46.png"/><Relationship Id="rId25" Type="http://schemas.openxmlformats.org/officeDocument/2006/relationships/image" Target="../media/image54.png"/><Relationship Id="rId2" Type="http://schemas.openxmlformats.org/officeDocument/2006/relationships/image" Target="../media/image31.png"/><Relationship Id="rId16" Type="http://schemas.openxmlformats.org/officeDocument/2006/relationships/image" Target="../media/image45.png"/><Relationship Id="rId20" Type="http://schemas.openxmlformats.org/officeDocument/2006/relationships/image" Target="../media/image49.png"/><Relationship Id="rId29" Type="http://schemas.openxmlformats.org/officeDocument/2006/relationships/image" Target="../media/image58.png"/><Relationship Id="rId1" Type="http://schemas.openxmlformats.org/officeDocument/2006/relationships/image" Target="../media/image30.png"/><Relationship Id="rId6" Type="http://schemas.openxmlformats.org/officeDocument/2006/relationships/image" Target="../media/image35.png"/><Relationship Id="rId11" Type="http://schemas.openxmlformats.org/officeDocument/2006/relationships/image" Target="../media/image40.png"/><Relationship Id="rId24" Type="http://schemas.openxmlformats.org/officeDocument/2006/relationships/image" Target="../media/image53.png"/><Relationship Id="rId5" Type="http://schemas.openxmlformats.org/officeDocument/2006/relationships/image" Target="../media/image34.png"/><Relationship Id="rId15" Type="http://schemas.openxmlformats.org/officeDocument/2006/relationships/image" Target="../media/image44.png"/><Relationship Id="rId23" Type="http://schemas.openxmlformats.org/officeDocument/2006/relationships/image" Target="../media/image52.png"/><Relationship Id="rId28" Type="http://schemas.openxmlformats.org/officeDocument/2006/relationships/image" Target="../media/image57.png"/><Relationship Id="rId10" Type="http://schemas.openxmlformats.org/officeDocument/2006/relationships/image" Target="../media/image39.png"/><Relationship Id="rId19" Type="http://schemas.openxmlformats.org/officeDocument/2006/relationships/image" Target="../media/image48.png"/><Relationship Id="rId4" Type="http://schemas.openxmlformats.org/officeDocument/2006/relationships/image" Target="../media/image33.png"/><Relationship Id="rId9" Type="http://schemas.openxmlformats.org/officeDocument/2006/relationships/image" Target="../media/image38.png"/><Relationship Id="rId14" Type="http://schemas.openxmlformats.org/officeDocument/2006/relationships/image" Target="../media/image43.png"/><Relationship Id="rId22" Type="http://schemas.openxmlformats.org/officeDocument/2006/relationships/image" Target="../media/image51.png"/><Relationship Id="rId27" Type="http://schemas.openxmlformats.org/officeDocument/2006/relationships/image" Target="../media/image5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15241</xdr:colOff>
      <xdr:row>16</xdr:row>
      <xdr:rowOff>59635</xdr:rowOff>
    </xdr:from>
    <xdr:to>
      <xdr:col>11</xdr:col>
      <xdr:colOff>116825</xdr:colOff>
      <xdr:row>17</xdr:row>
      <xdr:rowOff>135037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79C31CC5-95B2-3A84-E362-9B98FE215C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88509" b="953"/>
        <a:stretch/>
      </xdr:blipFill>
      <xdr:spPr>
        <a:xfrm>
          <a:off x="5614284" y="4141305"/>
          <a:ext cx="4315776" cy="260932"/>
        </a:xfrm>
        <a:prstGeom prst="rect">
          <a:avLst/>
        </a:prstGeom>
      </xdr:spPr>
    </xdr:pic>
    <xdr:clientData/>
  </xdr:twoCellAnchor>
  <xdr:twoCellAnchor>
    <xdr:from>
      <xdr:col>5</xdr:col>
      <xdr:colOff>20336</xdr:colOff>
      <xdr:row>12</xdr:row>
      <xdr:rowOff>30482</xdr:rowOff>
    </xdr:from>
    <xdr:to>
      <xdr:col>11</xdr:col>
      <xdr:colOff>121920</xdr:colOff>
      <xdr:row>16</xdr:row>
      <xdr:rowOff>17484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70B39436-079E-42F8-AE2E-AA215C3E47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13" b="70601"/>
        <a:stretch/>
      </xdr:blipFill>
      <xdr:spPr>
        <a:xfrm>
          <a:off x="5632860" y="3341241"/>
          <a:ext cx="4310977" cy="722726"/>
        </a:xfrm>
        <a:prstGeom prst="rect">
          <a:avLst/>
        </a:prstGeom>
      </xdr:spPr>
    </xdr:pic>
    <xdr:clientData/>
  </xdr:twoCellAnchor>
  <xdr:twoCellAnchor editAs="oneCell">
    <xdr:from>
      <xdr:col>11</xdr:col>
      <xdr:colOff>236220</xdr:colOff>
      <xdr:row>9</xdr:row>
      <xdr:rowOff>76200</xdr:rowOff>
    </xdr:from>
    <xdr:to>
      <xdr:col>18</xdr:col>
      <xdr:colOff>335280</xdr:colOff>
      <xdr:row>19</xdr:row>
      <xdr:rowOff>53071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12904387-7D8F-3B1B-EC81-50E799B0F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58400" y="2819400"/>
          <a:ext cx="4366260" cy="1805671"/>
        </a:xfrm>
        <a:prstGeom prst="rect">
          <a:avLst/>
        </a:prstGeom>
      </xdr:spPr>
    </xdr:pic>
    <xdr:clientData/>
  </xdr:twoCellAnchor>
  <xdr:twoCellAnchor editAs="oneCell">
    <xdr:from>
      <xdr:col>5</xdr:col>
      <xdr:colOff>34456</xdr:colOff>
      <xdr:row>21</xdr:row>
      <xdr:rowOff>14769</xdr:rowOff>
    </xdr:from>
    <xdr:to>
      <xdr:col>9</xdr:col>
      <xdr:colOff>476416</xdr:colOff>
      <xdr:row>29</xdr:row>
      <xdr:rowOff>106272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AC30D418-C795-C37E-9138-1E5684E49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33499" y="5024091"/>
          <a:ext cx="3436952" cy="1575747"/>
        </a:xfrm>
        <a:prstGeom prst="rect">
          <a:avLst/>
        </a:prstGeom>
      </xdr:spPr>
    </xdr:pic>
    <xdr:clientData/>
  </xdr:twoCellAnchor>
  <xdr:twoCellAnchor editAs="oneCell">
    <xdr:from>
      <xdr:col>5</xdr:col>
      <xdr:colOff>39757</xdr:colOff>
      <xdr:row>6</xdr:row>
      <xdr:rowOff>36358</xdr:rowOff>
    </xdr:from>
    <xdr:to>
      <xdr:col>5</xdr:col>
      <xdr:colOff>881270</xdr:colOff>
      <xdr:row>11</xdr:row>
      <xdr:rowOff>131053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2F34B48-68DC-6B90-FEFE-14773226EA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18581"/>
        <a:stretch/>
      </xdr:blipFill>
      <xdr:spPr>
        <a:xfrm>
          <a:off x="5638800" y="2262723"/>
          <a:ext cx="841513" cy="1022347"/>
        </a:xfrm>
        <a:prstGeom prst="rect">
          <a:avLst/>
        </a:prstGeom>
      </xdr:spPr>
    </xdr:pic>
    <xdr:clientData/>
  </xdr:twoCellAnchor>
  <xdr:twoCellAnchor editAs="oneCell">
    <xdr:from>
      <xdr:col>5</xdr:col>
      <xdr:colOff>987288</xdr:colOff>
      <xdr:row>6</xdr:row>
      <xdr:rowOff>4047</xdr:rowOff>
    </xdr:from>
    <xdr:to>
      <xdr:col>7</xdr:col>
      <xdr:colOff>612093</xdr:colOff>
      <xdr:row>7</xdr:row>
      <xdr:rowOff>152400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B212BE90-7C9C-456C-BF62-94E6A36D30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b="83948"/>
        <a:stretch/>
      </xdr:blipFill>
      <xdr:spPr>
        <a:xfrm>
          <a:off x="6586331" y="2230412"/>
          <a:ext cx="1393971" cy="3338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23814</xdr:rowOff>
    </xdr:from>
    <xdr:to>
      <xdr:col>2</xdr:col>
      <xdr:colOff>395287</xdr:colOff>
      <xdr:row>1</xdr:row>
      <xdr:rowOff>168806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580D9D-2A6A-0ABC-AA58-88DB8E89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04789"/>
          <a:ext cx="1142999" cy="144992"/>
        </a:xfrm>
        <a:prstGeom prst="rect">
          <a:avLst/>
        </a:prstGeom>
      </xdr:spPr>
    </xdr:pic>
    <xdr:clientData/>
  </xdr:twoCellAnchor>
  <xdr:twoCellAnchor editAs="oneCell">
    <xdr:from>
      <xdr:col>9</xdr:col>
      <xdr:colOff>87696</xdr:colOff>
      <xdr:row>0</xdr:row>
      <xdr:rowOff>0</xdr:rowOff>
    </xdr:from>
    <xdr:to>
      <xdr:col>11</xdr:col>
      <xdr:colOff>275770</xdr:colOff>
      <xdr:row>14</xdr:row>
      <xdr:rowOff>71437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82C45A-B220-0FC7-0965-A81319BF4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1130" y="0"/>
          <a:ext cx="1407274" cy="2688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430597</xdr:colOff>
      <xdr:row>0</xdr:row>
      <xdr:rowOff>1</xdr:rowOff>
    </xdr:from>
    <xdr:to>
      <xdr:col>16</xdr:col>
      <xdr:colOff>135149</xdr:colOff>
      <xdr:row>11</xdr:row>
      <xdr:rowOff>116025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0F3C408-D22F-B3C0-8638-27D2B1892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3231" y="1"/>
          <a:ext cx="2781860" cy="218130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166320</xdr:rowOff>
    </xdr:from>
    <xdr:to>
      <xdr:col>2</xdr:col>
      <xdr:colOff>47625</xdr:colOff>
      <xdr:row>9</xdr:row>
      <xdr:rowOff>161924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C511390-C11D-40D0-B6FA-FF4EF3894C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7910" t="-271" r="43033" b="89044"/>
        <a:stretch/>
      </xdr:blipFill>
      <xdr:spPr>
        <a:xfrm>
          <a:off x="1" y="1661745"/>
          <a:ext cx="795337" cy="176579"/>
        </a:xfrm>
        <a:prstGeom prst="rect">
          <a:avLst/>
        </a:prstGeom>
      </xdr:spPr>
    </xdr:pic>
    <xdr:clientData/>
  </xdr:twoCellAnchor>
  <xdr:twoCellAnchor editAs="oneCell">
    <xdr:from>
      <xdr:col>11</xdr:col>
      <xdr:colOff>474925</xdr:colOff>
      <xdr:row>12</xdr:row>
      <xdr:rowOff>3663</xdr:rowOff>
    </xdr:from>
    <xdr:to>
      <xdr:col>18</xdr:col>
      <xdr:colOff>360990</xdr:colOff>
      <xdr:row>13</xdr:row>
      <xdr:rowOff>174819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290C2FB-365D-AA74-BBF7-00170D070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07559" y="2252877"/>
          <a:ext cx="4182573" cy="3550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17417</xdr:rowOff>
    </xdr:from>
    <xdr:to>
      <xdr:col>1</xdr:col>
      <xdr:colOff>52250</xdr:colOff>
      <xdr:row>13</xdr:row>
      <xdr:rowOff>179202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62A0B2A-58F1-7512-029A-93BE92B9D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438400"/>
          <a:ext cx="661850" cy="1617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12423</xdr:rowOff>
    </xdr:from>
    <xdr:to>
      <xdr:col>1</xdr:col>
      <xdr:colOff>48945</xdr:colOff>
      <xdr:row>25</xdr:row>
      <xdr:rowOff>173934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A3BB9BE-7414-52FA-CB8A-ED7E9687A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4617553"/>
          <a:ext cx="657717" cy="1615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4356</xdr:rowOff>
    </xdr:from>
    <xdr:to>
      <xdr:col>1</xdr:col>
      <xdr:colOff>91439</xdr:colOff>
      <xdr:row>17</xdr:row>
      <xdr:rowOff>176742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55E82BE-DCEB-372B-C5BE-67E8D44AD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56859"/>
          <a:ext cx="701039" cy="1723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4354</xdr:rowOff>
    </xdr:from>
    <xdr:to>
      <xdr:col>2</xdr:col>
      <xdr:colOff>605246</xdr:colOff>
      <xdr:row>21</xdr:row>
      <xdr:rowOff>166856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AB4C990-A89C-6DA5-10AD-89D70C8AF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3888377"/>
          <a:ext cx="1354183" cy="1625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23578</xdr:rowOff>
    </xdr:from>
    <xdr:to>
      <xdr:col>2</xdr:col>
      <xdr:colOff>26019</xdr:colOff>
      <xdr:row>31</xdr:row>
      <xdr:rowOff>1821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D0CC61C-2341-DDF7-9ED8-987C1A182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5350144"/>
          <a:ext cx="773151" cy="1603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438615</xdr:colOff>
      <xdr:row>35</xdr:row>
      <xdr:rowOff>176064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D2B228D-89F6-CD30-3252-82807497D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6055112"/>
          <a:ext cx="438615" cy="1760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10511</xdr:rowOff>
    </xdr:from>
    <xdr:to>
      <xdr:col>2</xdr:col>
      <xdr:colOff>599090</xdr:colOff>
      <xdr:row>41</xdr:row>
      <xdr:rowOff>176857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8B8FFA2-AFFD-900C-8B15-169265675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7225863"/>
          <a:ext cx="1345324" cy="166346"/>
        </a:xfrm>
        <a:prstGeom prst="rect">
          <a:avLst/>
        </a:prstGeom>
      </xdr:spPr>
    </xdr:pic>
    <xdr:clientData/>
  </xdr:twoCellAnchor>
  <xdr:twoCellAnchor>
    <xdr:from>
      <xdr:col>14</xdr:col>
      <xdr:colOff>10510</xdr:colOff>
      <xdr:row>43</xdr:row>
      <xdr:rowOff>135400</xdr:rowOff>
    </xdr:from>
    <xdr:to>
      <xdr:col>20</xdr:col>
      <xdr:colOff>94593</xdr:colOff>
      <xdr:row>44</xdr:row>
      <xdr:rowOff>165221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E2D6EE78-BC74-425C-BF3B-778C9B092D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t="88509" b="953"/>
        <a:stretch/>
      </xdr:blipFill>
      <xdr:spPr>
        <a:xfrm>
          <a:off x="5023944" y="7718614"/>
          <a:ext cx="3741683" cy="213752"/>
        </a:xfrm>
        <a:prstGeom prst="rect">
          <a:avLst/>
        </a:prstGeom>
      </xdr:spPr>
    </xdr:pic>
    <xdr:clientData/>
  </xdr:twoCellAnchor>
  <xdr:twoCellAnchor>
    <xdr:from>
      <xdr:col>14</xdr:col>
      <xdr:colOff>10350</xdr:colOff>
      <xdr:row>40</xdr:row>
      <xdr:rowOff>89338</xdr:rowOff>
    </xdr:from>
    <xdr:to>
      <xdr:col>20</xdr:col>
      <xdr:colOff>94433</xdr:colOff>
      <xdr:row>43</xdr:row>
      <xdr:rowOff>134833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9C540BD6-9C8D-42AB-8442-7BD226AC2A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t="213" b="70601"/>
        <a:stretch/>
      </xdr:blipFill>
      <xdr:spPr>
        <a:xfrm>
          <a:off x="5023784" y="7120759"/>
          <a:ext cx="3741683" cy="597288"/>
        </a:xfrm>
        <a:prstGeom prst="rect">
          <a:avLst/>
        </a:prstGeom>
      </xdr:spPr>
    </xdr:pic>
    <xdr:clientData/>
  </xdr:twoCellAnchor>
  <xdr:twoCellAnchor editAs="oneCell">
    <xdr:from>
      <xdr:col>10</xdr:col>
      <xdr:colOff>36786</xdr:colOff>
      <xdr:row>41</xdr:row>
      <xdr:rowOff>15765</xdr:rowOff>
    </xdr:from>
    <xdr:to>
      <xdr:col>12</xdr:col>
      <xdr:colOff>499331</xdr:colOff>
      <xdr:row>45</xdr:row>
      <xdr:rowOff>73572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36E44CD2-BD75-FBBA-DEAE-E5A140373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611820" y="7231117"/>
          <a:ext cx="1681745" cy="793531"/>
        </a:xfrm>
        <a:prstGeom prst="rect">
          <a:avLst/>
        </a:prstGeom>
      </xdr:spPr>
    </xdr:pic>
    <xdr:clientData/>
  </xdr:twoCellAnchor>
  <xdr:twoCellAnchor editAs="oneCell">
    <xdr:from>
      <xdr:col>4</xdr:col>
      <xdr:colOff>92245</xdr:colOff>
      <xdr:row>2</xdr:row>
      <xdr:rowOff>34296</xdr:rowOff>
    </xdr:from>
    <xdr:to>
      <xdr:col>8</xdr:col>
      <xdr:colOff>533433</xdr:colOff>
      <xdr:row>5</xdr:row>
      <xdr:rowOff>110411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1777A85F-9290-9BC8-883A-CE18B3936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582782" y="403264"/>
          <a:ext cx="2406346" cy="649621"/>
        </a:xfrm>
        <a:prstGeom prst="rect">
          <a:avLst/>
        </a:prstGeom>
      </xdr:spPr>
    </xdr:pic>
    <xdr:clientData/>
  </xdr:twoCellAnchor>
  <xdr:twoCellAnchor editAs="oneCell">
    <xdr:from>
      <xdr:col>4</xdr:col>
      <xdr:colOff>56607</xdr:colOff>
      <xdr:row>10</xdr:row>
      <xdr:rowOff>26126</xdr:rowOff>
    </xdr:from>
    <xdr:to>
      <xdr:col>8</xdr:col>
      <xdr:colOff>508553</xdr:colOff>
      <xdr:row>12</xdr:row>
      <xdr:rowOff>151053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9CE0055E-A591-25D5-680E-D3A4A336F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551613" y="1898469"/>
          <a:ext cx="2420083" cy="490687"/>
        </a:xfrm>
        <a:prstGeom prst="rect">
          <a:avLst/>
        </a:prstGeom>
      </xdr:spPr>
    </xdr:pic>
    <xdr:clientData/>
  </xdr:twoCellAnchor>
  <xdr:twoCellAnchor editAs="oneCell">
    <xdr:from>
      <xdr:col>4</xdr:col>
      <xdr:colOff>40106</xdr:colOff>
      <xdr:row>13</xdr:row>
      <xdr:rowOff>26689</xdr:rowOff>
    </xdr:from>
    <xdr:to>
      <xdr:col>6</xdr:col>
      <xdr:colOff>87127</xdr:colOff>
      <xdr:row>14</xdr:row>
      <xdr:rowOff>178001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41F4397C-0B3C-CEBF-067F-63DBB2444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530643" y="2465089"/>
          <a:ext cx="1266221" cy="335796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17</xdr:row>
      <xdr:rowOff>1</xdr:rowOff>
    </xdr:from>
    <xdr:to>
      <xdr:col>7</xdr:col>
      <xdr:colOff>60107</xdr:colOff>
      <xdr:row>19</xdr:row>
      <xdr:rowOff>2536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9DC68D95-DB1E-45C5-E02E-40A977AD1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519363" y="3124201"/>
          <a:ext cx="1388844" cy="364485"/>
        </a:xfrm>
        <a:prstGeom prst="rect">
          <a:avLst/>
        </a:prstGeom>
      </xdr:spPr>
    </xdr:pic>
    <xdr:clientData/>
  </xdr:twoCellAnchor>
  <xdr:twoCellAnchor editAs="oneCell">
    <xdr:from>
      <xdr:col>4</xdr:col>
      <xdr:colOff>41056</xdr:colOff>
      <xdr:row>24</xdr:row>
      <xdr:rowOff>16259</xdr:rowOff>
    </xdr:from>
    <xdr:to>
      <xdr:col>8</xdr:col>
      <xdr:colOff>10321</xdr:colOff>
      <xdr:row>36</xdr:row>
      <xdr:rowOff>176213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8456A6D9-9EC5-C497-7DC1-EE219EA1E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531844" y="4407284"/>
          <a:ext cx="1936177" cy="2331654"/>
        </a:xfrm>
        <a:prstGeom prst="rect">
          <a:avLst/>
        </a:prstGeom>
      </xdr:spPr>
    </xdr:pic>
    <xdr:clientData/>
  </xdr:twoCellAnchor>
  <xdr:twoCellAnchor editAs="oneCell">
    <xdr:from>
      <xdr:col>5</xdr:col>
      <xdr:colOff>26276</xdr:colOff>
      <xdr:row>40</xdr:row>
      <xdr:rowOff>153622</xdr:rowOff>
    </xdr:from>
    <xdr:to>
      <xdr:col>7</xdr:col>
      <xdr:colOff>409904</xdr:colOff>
      <xdr:row>42</xdr:row>
      <xdr:rowOff>603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7236B106-D91D-C476-2384-37CA1AB0B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126828" y="7185043"/>
          <a:ext cx="1129862" cy="2102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6500</xdr:rowOff>
    </xdr:from>
    <xdr:to>
      <xdr:col>2</xdr:col>
      <xdr:colOff>231228</xdr:colOff>
      <xdr:row>50</xdr:row>
      <xdr:rowOff>171738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56F1E430-412A-5344-6D6F-4D6A18747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10377721"/>
          <a:ext cx="977186" cy="16523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</xdr:row>
      <xdr:rowOff>7434</xdr:rowOff>
    </xdr:from>
    <xdr:to>
      <xdr:col>7</xdr:col>
      <xdr:colOff>302983</xdr:colOff>
      <xdr:row>51</xdr:row>
      <xdr:rowOff>3717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2650626C-6A7C-3949-78CF-20E7EEF1A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11708780"/>
          <a:ext cx="1050115" cy="17842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58</xdr:row>
      <xdr:rowOff>6500</xdr:rowOff>
    </xdr:from>
    <xdr:ext cx="977186" cy="165238"/>
    <xdr:pic>
      <xdr:nvPicPr>
        <xdr:cNvPr id="46" name="Picture 45">
          <a:extLst>
            <a:ext uri="{FF2B5EF4-FFF2-40B4-BE49-F238E27FC236}">
              <a16:creationId xmlns:a16="http://schemas.microsoft.com/office/drawing/2014/main" id="{EE4B2F1F-6046-40C6-BEBB-6114369FA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10377721"/>
          <a:ext cx="977186" cy="165238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58</xdr:row>
      <xdr:rowOff>7434</xdr:rowOff>
    </xdr:from>
    <xdr:ext cx="1048941" cy="180767"/>
    <xdr:pic>
      <xdr:nvPicPr>
        <xdr:cNvPr id="47" name="Picture 46">
          <a:extLst>
            <a:ext uri="{FF2B5EF4-FFF2-40B4-BE49-F238E27FC236}">
              <a16:creationId xmlns:a16="http://schemas.microsoft.com/office/drawing/2014/main" id="{9BD202C0-6671-4DD1-8AEA-0469F3B25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11854529"/>
          <a:ext cx="1048941" cy="180767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66</xdr:row>
      <xdr:rowOff>21021</xdr:rowOff>
    </xdr:from>
    <xdr:to>
      <xdr:col>3</xdr:col>
      <xdr:colOff>375413</xdr:colOff>
      <xdr:row>67</xdr:row>
      <xdr:rowOff>158180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86EB4A0D-3E85-8D0A-7E84-97C28CBE4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11834649"/>
          <a:ext cx="1731247" cy="32109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76</xdr:row>
      <xdr:rowOff>21021</xdr:rowOff>
    </xdr:from>
    <xdr:to>
      <xdr:col>3</xdr:col>
      <xdr:colOff>357353</xdr:colOff>
      <xdr:row>77</xdr:row>
      <xdr:rowOff>174051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971DB06F-04BC-74FD-3449-C68C9CFD0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" y="13673959"/>
          <a:ext cx="1713186" cy="336962"/>
        </a:xfrm>
        <a:prstGeom prst="rect">
          <a:avLst/>
        </a:prstGeom>
      </xdr:spPr>
    </xdr:pic>
    <xdr:clientData/>
  </xdr:twoCellAnchor>
  <xdr:twoCellAnchor editAs="oneCell">
    <xdr:from>
      <xdr:col>14</xdr:col>
      <xdr:colOff>5862</xdr:colOff>
      <xdr:row>18</xdr:row>
      <xdr:rowOff>99646</xdr:rowOff>
    </xdr:from>
    <xdr:to>
      <xdr:col>19</xdr:col>
      <xdr:colOff>568814</xdr:colOff>
      <xdr:row>40</xdr:row>
      <xdr:rowOff>32756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DDFC27AC-4D5D-F311-14E0-AF4C799E9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118231" y="3417277"/>
          <a:ext cx="3640260" cy="3930679"/>
        </a:xfrm>
        <a:prstGeom prst="rect">
          <a:avLst/>
        </a:prstGeom>
      </xdr:spPr>
    </xdr:pic>
    <xdr:clientData/>
  </xdr:twoCellAnchor>
  <xdr:twoCellAnchor editAs="oneCell">
    <xdr:from>
      <xdr:col>5</xdr:col>
      <xdr:colOff>17587</xdr:colOff>
      <xdr:row>66</xdr:row>
      <xdr:rowOff>17587</xdr:rowOff>
    </xdr:from>
    <xdr:to>
      <xdr:col>8</xdr:col>
      <xdr:colOff>275493</xdr:colOff>
      <xdr:row>67</xdr:row>
      <xdr:rowOff>180335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C2E1081A-36FD-231A-D32A-42B06ED5A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118341" y="12057187"/>
          <a:ext cx="1611921" cy="344456"/>
        </a:xfrm>
        <a:prstGeom prst="rect">
          <a:avLst/>
        </a:prstGeom>
      </xdr:spPr>
    </xdr:pic>
    <xdr:clientData/>
  </xdr:twoCellAnchor>
  <xdr:twoCellAnchor editAs="oneCell">
    <xdr:from>
      <xdr:col>5</xdr:col>
      <xdr:colOff>23449</xdr:colOff>
      <xdr:row>76</xdr:row>
      <xdr:rowOff>17586</xdr:rowOff>
    </xdr:from>
    <xdr:to>
      <xdr:col>8</xdr:col>
      <xdr:colOff>269632</xdr:colOff>
      <xdr:row>77</xdr:row>
      <xdr:rowOff>177343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73DF1E95-7673-053F-56C9-FFCA197CD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124203" y="13874263"/>
          <a:ext cx="1600198" cy="3414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50212</xdr:colOff>
      <xdr:row>1</xdr:row>
      <xdr:rowOff>9145</xdr:rowOff>
    </xdr:from>
    <xdr:to>
      <xdr:col>3</xdr:col>
      <xdr:colOff>142783</xdr:colOff>
      <xdr:row>2</xdr:row>
      <xdr:rowOff>10608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425F39-9F22-63F5-1E0A-AFE813F2C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12" y="192025"/>
          <a:ext cx="1464162" cy="184343"/>
        </a:xfrm>
        <a:prstGeom prst="rect">
          <a:avLst/>
        </a:prstGeom>
      </xdr:spPr>
    </xdr:pic>
    <xdr:clientData/>
  </xdr:twoCellAnchor>
  <xdr:twoCellAnchor editAs="oneCell">
    <xdr:from>
      <xdr:col>0</xdr:col>
      <xdr:colOff>67056</xdr:colOff>
      <xdr:row>9</xdr:row>
      <xdr:rowOff>6096</xdr:rowOff>
    </xdr:from>
    <xdr:to>
      <xdr:col>2</xdr:col>
      <xdr:colOff>332241</xdr:colOff>
      <xdr:row>9</xdr:row>
      <xdr:rowOff>177292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566083-E43B-1559-976E-86C424C6C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" y="1661160"/>
          <a:ext cx="1027176" cy="171196"/>
        </a:xfrm>
        <a:prstGeom prst="rect">
          <a:avLst/>
        </a:prstGeom>
      </xdr:spPr>
    </xdr:pic>
    <xdr:clientData/>
  </xdr:twoCellAnchor>
  <xdr:twoCellAnchor editAs="oneCell">
    <xdr:from>
      <xdr:col>8</xdr:col>
      <xdr:colOff>102154</xdr:colOff>
      <xdr:row>0</xdr:row>
      <xdr:rowOff>0</xdr:rowOff>
    </xdr:from>
    <xdr:to>
      <xdr:col>14</xdr:col>
      <xdr:colOff>197238</xdr:colOff>
      <xdr:row>2</xdr:row>
      <xdr:rowOff>55074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585565-9F2F-BCB6-DFE9-93BF00F47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50267" y="0"/>
          <a:ext cx="3752684" cy="417024"/>
        </a:xfrm>
        <a:prstGeom prst="rect">
          <a:avLst/>
        </a:prstGeom>
      </xdr:spPr>
    </xdr:pic>
    <xdr:clientData/>
  </xdr:twoCellAnchor>
  <xdr:twoCellAnchor editAs="oneCell">
    <xdr:from>
      <xdr:col>8</xdr:col>
      <xdr:colOff>126371</xdr:colOff>
      <xdr:row>2</xdr:row>
      <xdr:rowOff>41292</xdr:rowOff>
    </xdr:from>
    <xdr:to>
      <xdr:col>14</xdr:col>
      <xdr:colOff>222069</xdr:colOff>
      <xdr:row>9</xdr:row>
      <xdr:rowOff>169268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2660DA8-06DA-B39F-9B1B-A41321352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74484" y="403242"/>
          <a:ext cx="3753298" cy="140432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13</xdr:row>
      <xdr:rowOff>39187</xdr:rowOff>
    </xdr:from>
    <xdr:to>
      <xdr:col>3</xdr:col>
      <xdr:colOff>402532</xdr:colOff>
      <xdr:row>14</xdr:row>
      <xdr:rowOff>134981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9527222-E2E5-2EE9-6DC9-A31007E3A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2447107"/>
          <a:ext cx="1775864" cy="278674"/>
        </a:xfrm>
        <a:prstGeom prst="rect">
          <a:avLst/>
        </a:prstGeom>
      </xdr:spPr>
    </xdr:pic>
    <xdr:clientData/>
  </xdr:twoCellAnchor>
  <xdr:twoCellAnchor editAs="oneCell">
    <xdr:from>
      <xdr:col>0</xdr:col>
      <xdr:colOff>3464</xdr:colOff>
      <xdr:row>19</xdr:row>
      <xdr:rowOff>10389</xdr:rowOff>
    </xdr:from>
    <xdr:to>
      <xdr:col>3</xdr:col>
      <xdr:colOff>84483</xdr:colOff>
      <xdr:row>19</xdr:row>
      <xdr:rowOff>169716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764D228-1D9C-43DF-C397-522F5C99F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64" y="3525980"/>
          <a:ext cx="1452471" cy="15932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23</xdr:row>
      <xdr:rowOff>1</xdr:rowOff>
    </xdr:from>
    <xdr:to>
      <xdr:col>3</xdr:col>
      <xdr:colOff>76349</xdr:colOff>
      <xdr:row>23</xdr:row>
      <xdr:rowOff>151429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9A45F36-C613-27A4-4F75-3D52E349D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" y="4249883"/>
          <a:ext cx="1447800" cy="1514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1</xdr:rowOff>
    </xdr:from>
    <xdr:to>
      <xdr:col>5</xdr:col>
      <xdr:colOff>509667</xdr:colOff>
      <xdr:row>27</xdr:row>
      <xdr:rowOff>175582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F3665B4-66FF-8BC9-EE25-1D38A91A3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5009148"/>
          <a:ext cx="3100137" cy="17558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31</xdr:row>
      <xdr:rowOff>0</xdr:rowOff>
    </xdr:from>
    <xdr:to>
      <xdr:col>2</xdr:col>
      <xdr:colOff>473573</xdr:colOff>
      <xdr:row>31</xdr:row>
      <xdr:rowOff>178635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1FB75D4-DC9B-BCA7-2CD8-96AC14F3E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" y="5747084"/>
          <a:ext cx="1235242" cy="1786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6</xdr:col>
      <xdr:colOff>267942</xdr:colOff>
      <xdr:row>40</xdr:row>
      <xdr:rowOff>109483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6CF9309-3B97-8539-FD93-B241F4FCC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6520070"/>
          <a:ext cx="3465443" cy="2950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2</xdr:col>
      <xdr:colOff>438150</xdr:colOff>
      <xdr:row>44</xdr:row>
      <xdr:rowOff>176864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92CDC26-B4A7-18FB-C27E-EAFF7580B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7272338"/>
          <a:ext cx="1200150" cy="1768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171452</xdr:rowOff>
    </xdr:from>
    <xdr:to>
      <xdr:col>6</xdr:col>
      <xdr:colOff>258500</xdr:colOff>
      <xdr:row>46</xdr:row>
      <xdr:rowOff>4762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A16C4BD-6688-B66B-6BBB-B01E7F5A2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7443790"/>
          <a:ext cx="3458900" cy="195260"/>
        </a:xfrm>
        <a:prstGeom prst="rect">
          <a:avLst/>
        </a:prstGeom>
      </xdr:spPr>
    </xdr:pic>
    <xdr:clientData/>
  </xdr:twoCellAnchor>
  <xdr:oneCellAnchor>
    <xdr:from>
      <xdr:col>0</xdr:col>
      <xdr:colOff>1</xdr:colOff>
      <xdr:row>34</xdr:row>
      <xdr:rowOff>182880</xdr:rowOff>
    </xdr:from>
    <xdr:ext cx="1314994" cy="173533"/>
    <xdr:pic>
      <xdr:nvPicPr>
        <xdr:cNvPr id="14" name="Picture 13">
          <a:extLst>
            <a:ext uri="{FF2B5EF4-FFF2-40B4-BE49-F238E27FC236}">
              <a16:creationId xmlns:a16="http://schemas.microsoft.com/office/drawing/2014/main" id="{5F3372A5-ED51-4814-95CB-207425E9E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" y="8412480"/>
          <a:ext cx="1314994" cy="173533"/>
        </a:xfrm>
        <a:prstGeom prst="rect">
          <a:avLst/>
        </a:prstGeom>
      </xdr:spPr>
    </xdr:pic>
    <xdr:clientData/>
  </xdr:oneCellAnchor>
  <xdr:twoCellAnchor editAs="oneCell">
    <xdr:from>
      <xdr:col>0</xdr:col>
      <xdr:colOff>1</xdr:colOff>
      <xdr:row>49</xdr:row>
      <xdr:rowOff>14287</xdr:rowOff>
    </xdr:from>
    <xdr:to>
      <xdr:col>3</xdr:col>
      <xdr:colOff>33339</xdr:colOff>
      <xdr:row>49</xdr:row>
      <xdr:rowOff>170861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8C86E8D-791E-1EDE-E82D-0C78E38B2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" y="8915400"/>
          <a:ext cx="1404938" cy="156574"/>
        </a:xfrm>
        <a:prstGeom prst="rect">
          <a:avLst/>
        </a:prstGeom>
      </xdr:spPr>
    </xdr:pic>
    <xdr:clientData/>
  </xdr:twoCellAnchor>
  <xdr:oneCellAnchor>
    <xdr:from>
      <xdr:col>0</xdr:col>
      <xdr:colOff>1</xdr:colOff>
      <xdr:row>53</xdr:row>
      <xdr:rowOff>1</xdr:rowOff>
    </xdr:from>
    <xdr:ext cx="1155790" cy="173852"/>
    <xdr:pic>
      <xdr:nvPicPr>
        <xdr:cNvPr id="16" name="Picture 15">
          <a:extLst>
            <a:ext uri="{FF2B5EF4-FFF2-40B4-BE49-F238E27FC236}">
              <a16:creationId xmlns:a16="http://schemas.microsoft.com/office/drawing/2014/main" id="{9ECC3AB2-735A-4D66-B2C3-4D6C9A99E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" y="182881"/>
          <a:ext cx="1155790" cy="17385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57</xdr:row>
      <xdr:rowOff>0</xdr:rowOff>
    </xdr:from>
    <xdr:ext cx="1303429" cy="180172"/>
    <xdr:pic>
      <xdr:nvPicPr>
        <xdr:cNvPr id="17" name="Picture 16">
          <a:extLst>
            <a:ext uri="{FF2B5EF4-FFF2-40B4-BE49-F238E27FC236}">
              <a16:creationId xmlns:a16="http://schemas.microsoft.com/office/drawing/2014/main" id="{1215A2B0-8359-444B-A599-DA4B33407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914400"/>
          <a:ext cx="1303429" cy="180172"/>
        </a:xfrm>
        <a:prstGeom prst="rect">
          <a:avLst/>
        </a:prstGeom>
      </xdr:spPr>
    </xdr:pic>
    <xdr:clientData/>
  </xdr:oneCellAnchor>
  <xdr:oneCellAnchor>
    <xdr:from>
      <xdr:col>0</xdr:col>
      <xdr:colOff>1</xdr:colOff>
      <xdr:row>61</xdr:row>
      <xdr:rowOff>0</xdr:rowOff>
    </xdr:from>
    <xdr:ext cx="1223553" cy="168322"/>
    <xdr:pic>
      <xdr:nvPicPr>
        <xdr:cNvPr id="18" name="Picture 17">
          <a:extLst>
            <a:ext uri="{FF2B5EF4-FFF2-40B4-BE49-F238E27FC236}">
              <a16:creationId xmlns:a16="http://schemas.microsoft.com/office/drawing/2014/main" id="{7CC8705C-022D-4188-B5D0-46B67322B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" y="1645920"/>
          <a:ext cx="1223553" cy="16832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65</xdr:row>
      <xdr:rowOff>13064</xdr:rowOff>
    </xdr:from>
    <xdr:ext cx="1080651" cy="152400"/>
    <xdr:pic>
      <xdr:nvPicPr>
        <xdr:cNvPr id="19" name="Picture 18">
          <a:extLst>
            <a:ext uri="{FF2B5EF4-FFF2-40B4-BE49-F238E27FC236}">
              <a16:creationId xmlns:a16="http://schemas.microsoft.com/office/drawing/2014/main" id="{62087CCA-3803-4484-8497-6702C9B9F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2390504"/>
          <a:ext cx="1080651" cy="1524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67</xdr:row>
      <xdr:rowOff>0</xdr:rowOff>
    </xdr:from>
    <xdr:ext cx="1891138" cy="169817"/>
    <xdr:pic>
      <xdr:nvPicPr>
        <xdr:cNvPr id="20" name="Picture 19">
          <a:extLst>
            <a:ext uri="{FF2B5EF4-FFF2-40B4-BE49-F238E27FC236}">
              <a16:creationId xmlns:a16="http://schemas.microsoft.com/office/drawing/2014/main" id="{E08F53C9-A3A2-4341-B0C5-8B45240D7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2743200"/>
          <a:ext cx="1891138" cy="169817"/>
        </a:xfrm>
        <a:prstGeom prst="rect">
          <a:avLst/>
        </a:prstGeom>
      </xdr:spPr>
    </xdr:pic>
    <xdr:clientData/>
  </xdr:oneCellAnchor>
  <xdr:oneCellAnchor>
    <xdr:from>
      <xdr:col>0</xdr:col>
      <xdr:colOff>1</xdr:colOff>
      <xdr:row>69</xdr:row>
      <xdr:rowOff>21770</xdr:rowOff>
    </xdr:from>
    <xdr:ext cx="2899954" cy="164770"/>
    <xdr:pic>
      <xdr:nvPicPr>
        <xdr:cNvPr id="21" name="Picture 20">
          <a:extLst>
            <a:ext uri="{FF2B5EF4-FFF2-40B4-BE49-F238E27FC236}">
              <a16:creationId xmlns:a16="http://schemas.microsoft.com/office/drawing/2014/main" id="{F47A0788-A568-420C-9F59-1CF8C2B71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" y="3130730"/>
          <a:ext cx="2899954" cy="16477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</xdr:row>
      <xdr:rowOff>0</xdr:rowOff>
    </xdr:from>
    <xdr:ext cx="1303133" cy="167655"/>
    <xdr:pic>
      <xdr:nvPicPr>
        <xdr:cNvPr id="22" name="Picture 21">
          <a:extLst>
            <a:ext uri="{FF2B5EF4-FFF2-40B4-BE49-F238E27FC236}">
              <a16:creationId xmlns:a16="http://schemas.microsoft.com/office/drawing/2014/main" id="{AB2CEDC3-DB15-4283-A750-8B851F863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4023360"/>
          <a:ext cx="1303133" cy="16765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78</xdr:row>
      <xdr:rowOff>0</xdr:rowOff>
    </xdr:from>
    <xdr:ext cx="1196444" cy="160034"/>
    <xdr:pic>
      <xdr:nvPicPr>
        <xdr:cNvPr id="23" name="Picture 22">
          <a:extLst>
            <a:ext uri="{FF2B5EF4-FFF2-40B4-BE49-F238E27FC236}">
              <a16:creationId xmlns:a16="http://schemas.microsoft.com/office/drawing/2014/main" id="{86DD74E6-D7EE-4A98-B1E5-E39A8D1CF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4754880"/>
          <a:ext cx="1196444" cy="16003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83</xdr:row>
      <xdr:rowOff>0</xdr:rowOff>
    </xdr:from>
    <xdr:ext cx="1776549" cy="327978"/>
    <xdr:pic>
      <xdr:nvPicPr>
        <xdr:cNvPr id="24" name="Picture 23">
          <a:extLst>
            <a:ext uri="{FF2B5EF4-FFF2-40B4-BE49-F238E27FC236}">
              <a16:creationId xmlns:a16="http://schemas.microsoft.com/office/drawing/2014/main" id="{8C052020-C2EA-4302-9BD0-095DE6B1F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5669280"/>
          <a:ext cx="1776549" cy="32797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89</xdr:row>
      <xdr:rowOff>13064</xdr:rowOff>
    </xdr:from>
    <xdr:ext cx="1419497" cy="162430"/>
    <xdr:pic>
      <xdr:nvPicPr>
        <xdr:cNvPr id="25" name="Picture 24">
          <a:extLst>
            <a:ext uri="{FF2B5EF4-FFF2-40B4-BE49-F238E27FC236}">
              <a16:creationId xmlns:a16="http://schemas.microsoft.com/office/drawing/2014/main" id="{0CA0F8CE-A104-46C1-A526-397051F22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6779624"/>
          <a:ext cx="1419497" cy="16243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93</xdr:row>
      <xdr:rowOff>0</xdr:rowOff>
    </xdr:from>
    <xdr:ext cx="1493520" cy="190838"/>
    <xdr:pic>
      <xdr:nvPicPr>
        <xdr:cNvPr id="26" name="Picture 25">
          <a:extLst>
            <a:ext uri="{FF2B5EF4-FFF2-40B4-BE49-F238E27FC236}">
              <a16:creationId xmlns:a16="http://schemas.microsoft.com/office/drawing/2014/main" id="{22E84F70-3014-43CB-9989-C20A3B034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7498080"/>
          <a:ext cx="1493520" cy="190838"/>
        </a:xfrm>
        <a:prstGeom prst="rect">
          <a:avLst/>
        </a:prstGeom>
      </xdr:spPr>
    </xdr:pic>
    <xdr:clientData/>
  </xdr:oneCellAnchor>
  <xdr:oneCellAnchor>
    <xdr:from>
      <xdr:col>0</xdr:col>
      <xdr:colOff>1</xdr:colOff>
      <xdr:row>96</xdr:row>
      <xdr:rowOff>182880</xdr:rowOff>
    </xdr:from>
    <xdr:ext cx="1314994" cy="200762"/>
    <xdr:pic>
      <xdr:nvPicPr>
        <xdr:cNvPr id="27" name="Picture 26">
          <a:extLst>
            <a:ext uri="{FF2B5EF4-FFF2-40B4-BE49-F238E27FC236}">
              <a16:creationId xmlns:a16="http://schemas.microsoft.com/office/drawing/2014/main" id="{5D519419-9FE1-4811-ACC1-9D60EA623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" y="8229600"/>
          <a:ext cx="1314994" cy="200762"/>
        </a:xfrm>
        <a:prstGeom prst="rect">
          <a:avLst/>
        </a:prstGeom>
      </xdr:spPr>
    </xdr:pic>
    <xdr:clientData/>
  </xdr:oneCellAnchor>
  <xdr:oneCellAnchor>
    <xdr:from>
      <xdr:col>0</xdr:col>
      <xdr:colOff>1</xdr:colOff>
      <xdr:row>101</xdr:row>
      <xdr:rowOff>0</xdr:rowOff>
    </xdr:from>
    <xdr:ext cx="1219200" cy="165627"/>
    <xdr:pic>
      <xdr:nvPicPr>
        <xdr:cNvPr id="28" name="Picture 27">
          <a:extLst>
            <a:ext uri="{FF2B5EF4-FFF2-40B4-BE49-F238E27FC236}">
              <a16:creationId xmlns:a16="http://schemas.microsoft.com/office/drawing/2014/main" id="{87671814-C6D6-439B-B033-AC75A591C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" y="8961120"/>
          <a:ext cx="1219200" cy="165627"/>
        </a:xfrm>
        <a:prstGeom prst="rect">
          <a:avLst/>
        </a:prstGeom>
      </xdr:spPr>
    </xdr:pic>
    <xdr:clientData/>
  </xdr:oneCellAnchor>
  <xdr:oneCellAnchor>
    <xdr:from>
      <xdr:col>0</xdr:col>
      <xdr:colOff>1</xdr:colOff>
      <xdr:row>105</xdr:row>
      <xdr:rowOff>0</xdr:rowOff>
    </xdr:from>
    <xdr:ext cx="1802674" cy="201507"/>
    <xdr:pic>
      <xdr:nvPicPr>
        <xdr:cNvPr id="29" name="Picture 28">
          <a:extLst>
            <a:ext uri="{FF2B5EF4-FFF2-40B4-BE49-F238E27FC236}">
              <a16:creationId xmlns:a16="http://schemas.microsoft.com/office/drawing/2014/main" id="{8A70B88B-1D28-41D0-AA22-3BDE95300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" y="9692640"/>
          <a:ext cx="1802674" cy="2015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109</xdr:row>
      <xdr:rowOff>0</xdr:rowOff>
    </xdr:from>
    <xdr:ext cx="1667691" cy="182558"/>
    <xdr:pic>
      <xdr:nvPicPr>
        <xdr:cNvPr id="30" name="Picture 29">
          <a:extLst>
            <a:ext uri="{FF2B5EF4-FFF2-40B4-BE49-F238E27FC236}">
              <a16:creationId xmlns:a16="http://schemas.microsoft.com/office/drawing/2014/main" id="{19587589-5C76-4586-9C8E-88C3D4DC6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10424160"/>
          <a:ext cx="1667691" cy="182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01863-E7A3-488D-8B89-11C68F69B64E}">
  <dimension ref="A1:J66"/>
  <sheetViews>
    <sheetView tabSelected="1" topLeftCell="A21" zoomScale="115" zoomScaleNormal="115" workbookViewId="0">
      <selection activeCell="D40" sqref="D40"/>
    </sheetView>
  </sheetViews>
  <sheetFormatPr defaultColWidth="41.109375" defaultRowHeight="15.6" x14ac:dyDescent="0.3"/>
  <cols>
    <col min="1" max="1" width="32.88671875" style="54" customWidth="1"/>
    <col min="2" max="2" width="2.5546875" style="54" bestFit="1" customWidth="1"/>
    <col min="3" max="3" width="1.6640625" style="55" bestFit="1" customWidth="1"/>
    <col min="4" max="4" width="20.44140625" style="59" bestFit="1" customWidth="1"/>
    <col min="5" max="5" width="7.77734375" style="54" bestFit="1" customWidth="1"/>
    <col min="6" max="6" width="6.5546875" customWidth="1"/>
    <col min="7" max="7" width="2.21875" bestFit="1" customWidth="1"/>
    <col min="8" max="8" width="16.21875" style="1" customWidth="1"/>
    <col min="9" max="9" width="7.109375" bestFit="1" customWidth="1"/>
    <col min="10" max="10" width="4.5546875" bestFit="1" customWidth="1"/>
  </cols>
  <sheetData>
    <row r="1" spans="1:8" x14ac:dyDescent="0.3">
      <c r="A1" s="63" t="s">
        <v>242</v>
      </c>
      <c r="B1" s="63"/>
      <c r="C1" s="63"/>
      <c r="D1" s="63"/>
      <c r="E1" s="63"/>
      <c r="H1" s="80" t="s">
        <v>273</v>
      </c>
    </row>
    <row r="2" spans="1:8" ht="15" x14ac:dyDescent="0.3">
      <c r="A2" s="11" t="s">
        <v>38</v>
      </c>
      <c r="B2" s="11" t="s">
        <v>32</v>
      </c>
      <c r="C2" s="53" t="s">
        <v>41</v>
      </c>
      <c r="D2" s="56">
        <v>15086</v>
      </c>
      <c r="E2" s="11" t="s">
        <v>11</v>
      </c>
    </row>
    <row r="3" spans="1:8" ht="15" x14ac:dyDescent="0.3">
      <c r="A3" s="11" t="s">
        <v>176</v>
      </c>
      <c r="B3" s="11" t="s">
        <v>49</v>
      </c>
      <c r="C3" s="53" t="s">
        <v>41</v>
      </c>
      <c r="D3" s="56">
        <v>3800</v>
      </c>
      <c r="E3" s="11" t="s">
        <v>11</v>
      </c>
    </row>
    <row r="4" spans="1:8" ht="15" x14ac:dyDescent="0.3">
      <c r="A4" s="11" t="s">
        <v>177</v>
      </c>
      <c r="B4" s="11" t="s">
        <v>243</v>
      </c>
      <c r="C4" s="53" t="s">
        <v>41</v>
      </c>
      <c r="D4" s="56">
        <v>3500</v>
      </c>
      <c r="E4" s="11" t="s">
        <v>11</v>
      </c>
    </row>
    <row r="5" spans="1:8" ht="15" x14ac:dyDescent="0.3">
      <c r="A5" s="11" t="s">
        <v>37</v>
      </c>
      <c r="B5" s="11" t="s">
        <v>33</v>
      </c>
      <c r="C5" s="53" t="s">
        <v>41</v>
      </c>
      <c r="D5" s="56">
        <v>1150</v>
      </c>
      <c r="E5" s="11" t="s">
        <v>11</v>
      </c>
    </row>
    <row r="6" spans="1:8" ht="15" x14ac:dyDescent="0.3">
      <c r="A6" s="11" t="s">
        <v>247</v>
      </c>
      <c r="B6" s="11"/>
      <c r="C6" s="53" t="s">
        <v>41</v>
      </c>
      <c r="D6" s="56">
        <f>D4-D5</f>
        <v>2350</v>
      </c>
      <c r="E6" s="11" t="s">
        <v>11</v>
      </c>
    </row>
    <row r="7" spans="1:8" ht="15" x14ac:dyDescent="0.3">
      <c r="A7" s="11" t="s">
        <v>39</v>
      </c>
      <c r="B7" s="11"/>
      <c r="C7" s="53" t="s">
        <v>41</v>
      </c>
      <c r="D7" s="56">
        <v>74</v>
      </c>
      <c r="E7" s="11" t="s">
        <v>11</v>
      </c>
    </row>
    <row r="8" spans="1:8" ht="15" x14ac:dyDescent="0.3">
      <c r="A8" s="11" t="s">
        <v>135</v>
      </c>
      <c r="B8" s="11"/>
      <c r="C8" s="53" t="s">
        <v>41</v>
      </c>
      <c r="D8" s="56">
        <v>980</v>
      </c>
      <c r="E8" s="11" t="s">
        <v>11</v>
      </c>
    </row>
    <row r="9" spans="1:8" ht="15" x14ac:dyDescent="0.3">
      <c r="A9" s="11" t="s">
        <v>249</v>
      </c>
      <c r="B9" s="11"/>
      <c r="C9" s="53" t="s">
        <v>41</v>
      </c>
      <c r="D9" s="56">
        <f>D8/2</f>
        <v>490</v>
      </c>
      <c r="E9" s="11" t="s">
        <v>11</v>
      </c>
    </row>
    <row r="10" spans="1:8" ht="15" x14ac:dyDescent="0.3">
      <c r="A10" s="11" t="s">
        <v>272</v>
      </c>
      <c r="B10" s="11"/>
      <c r="C10" s="53" t="s">
        <v>41</v>
      </c>
      <c r="D10" s="57">
        <f>'Teknis Air'!B54</f>
        <v>53.082999427943534</v>
      </c>
      <c r="E10" s="11" t="s">
        <v>19</v>
      </c>
      <c r="H10" s="1" t="str">
        <f>IF(D10&lt;D19,"OK","REJECTED")</f>
        <v>OK</v>
      </c>
    </row>
    <row r="11" spans="1:8" ht="15" x14ac:dyDescent="0.3">
      <c r="A11" s="11"/>
      <c r="B11" s="11"/>
      <c r="C11" s="53"/>
      <c r="D11" s="56"/>
      <c r="E11" s="11"/>
    </row>
    <row r="12" spans="1:8" x14ac:dyDescent="0.3">
      <c r="A12" s="64" t="s">
        <v>266</v>
      </c>
      <c r="B12" s="64"/>
      <c r="C12" s="64"/>
      <c r="D12" s="64"/>
      <c r="E12" s="64"/>
    </row>
    <row r="13" spans="1:8" ht="15" x14ac:dyDescent="0.3">
      <c r="A13" s="11" t="s">
        <v>36</v>
      </c>
      <c r="B13" s="53" t="s">
        <v>31</v>
      </c>
      <c r="C13" s="53" t="s">
        <v>41</v>
      </c>
      <c r="D13" s="11">
        <v>500</v>
      </c>
      <c r="E13" s="11" t="s">
        <v>11</v>
      </c>
    </row>
    <row r="14" spans="1:8" ht="15" x14ac:dyDescent="0.3">
      <c r="A14" s="11" t="s">
        <v>89</v>
      </c>
      <c r="B14" s="53" t="s">
        <v>267</v>
      </c>
      <c r="C14" s="53" t="s">
        <v>41</v>
      </c>
      <c r="D14" s="11">
        <f>D13*5</f>
        <v>2500</v>
      </c>
      <c r="E14" s="11" t="s">
        <v>11</v>
      </c>
    </row>
    <row r="15" spans="1:8" ht="15" x14ac:dyDescent="0.3">
      <c r="A15" s="11" t="s">
        <v>70</v>
      </c>
      <c r="B15" s="53" t="s">
        <v>34</v>
      </c>
      <c r="C15" s="53" t="s">
        <v>41</v>
      </c>
      <c r="D15" s="11">
        <f>0.5*D4</f>
        <v>1750</v>
      </c>
      <c r="E15" s="11" t="s">
        <v>11</v>
      </c>
    </row>
    <row r="16" spans="1:8" ht="15" x14ac:dyDescent="0.3">
      <c r="A16" s="11" t="s">
        <v>74</v>
      </c>
      <c r="B16" s="53" t="s">
        <v>35</v>
      </c>
      <c r="C16" s="53" t="s">
        <v>41</v>
      </c>
      <c r="D16" s="11">
        <v>2100</v>
      </c>
      <c r="E16" s="11" t="s">
        <v>11</v>
      </c>
    </row>
    <row r="17" spans="1:5" ht="15" x14ac:dyDescent="0.3">
      <c r="A17" s="11"/>
      <c r="B17" s="11"/>
      <c r="C17" s="53"/>
      <c r="D17" s="56"/>
      <c r="E17" s="11"/>
    </row>
    <row r="18" spans="1:5" x14ac:dyDescent="0.3">
      <c r="A18" s="63" t="s">
        <v>261</v>
      </c>
      <c r="B18" s="63"/>
      <c r="C18" s="63"/>
      <c r="D18" s="63"/>
      <c r="E18" s="63"/>
    </row>
    <row r="19" spans="1:5" x14ac:dyDescent="0.3">
      <c r="A19" s="61" t="s">
        <v>165</v>
      </c>
      <c r="B19" s="60"/>
      <c r="C19" s="55" t="s">
        <v>41</v>
      </c>
      <c r="D19" s="56">
        <v>54.37</v>
      </c>
      <c r="E19" s="11" t="s">
        <v>19</v>
      </c>
    </row>
    <row r="20" spans="1:5" ht="15" x14ac:dyDescent="0.3">
      <c r="A20" s="11" t="s">
        <v>246</v>
      </c>
      <c r="B20" s="11"/>
      <c r="C20" s="53" t="s">
        <v>41</v>
      </c>
      <c r="D20" s="56">
        <v>0.83199999999999996</v>
      </c>
      <c r="E20" s="11"/>
    </row>
    <row r="21" spans="1:5" ht="15" x14ac:dyDescent="0.3">
      <c r="A21" s="11" t="s">
        <v>154</v>
      </c>
      <c r="B21" s="11"/>
      <c r="C21" s="53" t="s">
        <v>41</v>
      </c>
      <c r="D21" s="56" t="s">
        <v>248</v>
      </c>
      <c r="E21" s="11"/>
    </row>
    <row r="22" spans="1:5" ht="15" x14ac:dyDescent="0.3">
      <c r="A22" s="11" t="s">
        <v>263</v>
      </c>
      <c r="B22" s="11"/>
      <c r="C22" s="53" t="s">
        <v>41</v>
      </c>
      <c r="D22" s="56">
        <v>1993</v>
      </c>
      <c r="E22" s="11" t="s">
        <v>147</v>
      </c>
    </row>
    <row r="23" spans="1:5" ht="15" x14ac:dyDescent="0.3">
      <c r="A23" s="11" t="s">
        <v>262</v>
      </c>
      <c r="B23" s="11"/>
      <c r="C23" s="53" t="s">
        <v>41</v>
      </c>
      <c r="D23" s="56">
        <v>0.91</v>
      </c>
      <c r="E23" s="11"/>
    </row>
    <row r="24" spans="1:5" ht="15" x14ac:dyDescent="0.3">
      <c r="A24" s="11" t="s">
        <v>12</v>
      </c>
      <c r="B24" s="11"/>
      <c r="C24" s="53" t="s">
        <v>41</v>
      </c>
      <c r="D24" s="56">
        <v>30</v>
      </c>
      <c r="E24" s="11" t="s">
        <v>13</v>
      </c>
    </row>
    <row r="26" spans="1:5" x14ac:dyDescent="0.3">
      <c r="A26" s="63" t="s">
        <v>250</v>
      </c>
      <c r="B26" s="63"/>
      <c r="C26" s="63"/>
      <c r="D26" s="63"/>
      <c r="E26" s="63"/>
    </row>
    <row r="27" spans="1:5" x14ac:dyDescent="0.3">
      <c r="A27" s="11" t="s">
        <v>244</v>
      </c>
      <c r="B27" s="11"/>
      <c r="C27" s="53" t="s">
        <v>41</v>
      </c>
      <c r="D27" s="56" t="s">
        <v>245</v>
      </c>
    </row>
    <row r="28" spans="1:5" x14ac:dyDescent="0.3">
      <c r="A28" s="11" t="s">
        <v>251</v>
      </c>
      <c r="B28" s="11"/>
      <c r="C28" s="53" t="s">
        <v>41</v>
      </c>
      <c r="D28" s="57">
        <f>'Teknis Darat'!C43</f>
        <v>5.4911015628677644</v>
      </c>
    </row>
    <row r="29" spans="1:5" x14ac:dyDescent="0.3">
      <c r="A29" s="11" t="s">
        <v>252</v>
      </c>
      <c r="B29" s="11"/>
      <c r="C29" s="53" t="s">
        <v>41</v>
      </c>
      <c r="D29" s="57">
        <f>'Teknis Darat'!H43</f>
        <v>0.20145940627380091</v>
      </c>
    </row>
    <row r="30" spans="1:5" ht="15" customHeight="1" x14ac:dyDescent="0.3">
      <c r="A30" s="77" t="s">
        <v>254</v>
      </c>
      <c r="B30" s="77"/>
      <c r="C30" s="78" t="s">
        <v>41</v>
      </c>
      <c r="D30" s="79">
        <v>100</v>
      </c>
      <c r="E30" s="77" t="s">
        <v>13</v>
      </c>
    </row>
    <row r="31" spans="1:5" ht="15" x14ac:dyDescent="0.3">
      <c r="A31" s="77" t="s">
        <v>255</v>
      </c>
      <c r="B31" s="77"/>
      <c r="C31" s="78" t="s">
        <v>41</v>
      </c>
      <c r="D31" s="79">
        <v>6.5</v>
      </c>
      <c r="E31" s="77" t="s">
        <v>13</v>
      </c>
    </row>
    <row r="32" spans="1:5" ht="15" customHeight="1" x14ac:dyDescent="0.3">
      <c r="A32" s="11" t="s">
        <v>141</v>
      </c>
      <c r="B32" s="11"/>
      <c r="C32" s="53" t="s">
        <v>41</v>
      </c>
      <c r="D32" s="56">
        <v>30</v>
      </c>
      <c r="E32" s="11" t="s">
        <v>253</v>
      </c>
    </row>
    <row r="33" spans="1:10" x14ac:dyDescent="0.3">
      <c r="A33" s="11"/>
      <c r="B33" s="11"/>
      <c r="C33" s="53"/>
      <c r="D33" s="56"/>
    </row>
    <row r="34" spans="1:10" x14ac:dyDescent="0.3">
      <c r="A34" s="63" t="s">
        <v>9</v>
      </c>
      <c r="B34" s="63"/>
      <c r="C34" s="63"/>
      <c r="D34" s="63"/>
      <c r="E34" s="63"/>
    </row>
    <row r="35" spans="1:10" ht="15" x14ac:dyDescent="0.3">
      <c r="A35" s="11" t="s">
        <v>256</v>
      </c>
      <c r="B35" s="11"/>
      <c r="C35" s="53" t="s">
        <v>41</v>
      </c>
      <c r="D35" s="56">
        <f>'Teknis Air'!$B$32</f>
        <v>254.7</v>
      </c>
      <c r="E35" s="11" t="s">
        <v>43</v>
      </c>
      <c r="F35" s="11"/>
    </row>
    <row r="36" spans="1:10" ht="15" x14ac:dyDescent="0.3">
      <c r="A36" s="11" t="s">
        <v>25</v>
      </c>
      <c r="B36" s="11"/>
      <c r="C36" s="78" t="s">
        <v>41</v>
      </c>
      <c r="D36" s="58">
        <f>'Teknis Air'!B34</f>
        <v>2547</v>
      </c>
      <c r="E36" s="11" t="s">
        <v>161</v>
      </c>
      <c r="F36" s="11"/>
    </row>
    <row r="37" spans="1:10" ht="15" x14ac:dyDescent="0.3">
      <c r="A37" s="11" t="s">
        <v>257</v>
      </c>
      <c r="B37" s="11"/>
      <c r="C37" s="78" t="s">
        <v>41</v>
      </c>
      <c r="D37" s="57">
        <f>D36/D48</f>
        <v>1.2735000000000001</v>
      </c>
      <c r="E37" s="11" t="s">
        <v>44</v>
      </c>
      <c r="F37" s="11"/>
    </row>
    <row r="38" spans="1:10" ht="15" x14ac:dyDescent="0.3">
      <c r="A38" s="11" t="s">
        <v>268</v>
      </c>
      <c r="B38" s="11"/>
      <c r="C38" s="53" t="s">
        <v>41</v>
      </c>
      <c r="D38" s="58">
        <f>D24</f>
        <v>30</v>
      </c>
      <c r="E38" s="11" t="s">
        <v>13</v>
      </c>
      <c r="F38" s="11"/>
    </row>
    <row r="39" spans="1:10" ht="15" x14ac:dyDescent="0.3">
      <c r="A39" s="11" t="s">
        <v>269</v>
      </c>
      <c r="B39" s="11"/>
      <c r="C39" s="53" t="s">
        <v>41</v>
      </c>
      <c r="D39" s="58">
        <v>60</v>
      </c>
      <c r="E39" s="11" t="s">
        <v>13</v>
      </c>
      <c r="F39" s="11"/>
    </row>
    <row r="40" spans="1:10" ht="15" x14ac:dyDescent="0.3">
      <c r="A40" s="11" t="s">
        <v>270</v>
      </c>
      <c r="B40" s="11"/>
      <c r="C40" s="53" t="s">
        <v>41</v>
      </c>
      <c r="D40" s="58">
        <f>D38*D37</f>
        <v>38.205000000000005</v>
      </c>
      <c r="E40" s="11" t="s">
        <v>15</v>
      </c>
      <c r="F40" s="11"/>
    </row>
    <row r="41" spans="1:10" ht="15" x14ac:dyDescent="0.3">
      <c r="A41" s="11" t="s">
        <v>271</v>
      </c>
      <c r="B41" s="11"/>
      <c r="C41" s="53" t="s">
        <v>41</v>
      </c>
      <c r="D41" s="58">
        <f>D39*D37</f>
        <v>76.410000000000011</v>
      </c>
      <c r="E41" s="11" t="s">
        <v>15</v>
      </c>
      <c r="F41" s="11"/>
    </row>
    <row r="42" spans="1:10" x14ac:dyDescent="0.3">
      <c r="A42" s="11"/>
      <c r="B42" s="11"/>
      <c r="C42" s="53"/>
      <c r="F42" s="11"/>
    </row>
    <row r="43" spans="1:10" x14ac:dyDescent="0.3">
      <c r="A43" s="64" t="s">
        <v>258</v>
      </c>
      <c r="B43" s="64"/>
      <c r="C43" s="64"/>
      <c r="D43" s="64"/>
      <c r="E43" s="64"/>
      <c r="F43" s="11"/>
    </row>
    <row r="44" spans="1:10" x14ac:dyDescent="0.3">
      <c r="A44" s="26" t="s">
        <v>264</v>
      </c>
      <c r="B44" s="53"/>
      <c r="C44" s="53" t="s">
        <v>41</v>
      </c>
      <c r="D44" s="56" t="s">
        <v>167</v>
      </c>
      <c r="E44" s="62"/>
      <c r="F44" s="11"/>
    </row>
    <row r="45" spans="1:10" ht="15" x14ac:dyDescent="0.3">
      <c r="A45" s="11" t="s">
        <v>150</v>
      </c>
      <c r="B45" s="11"/>
      <c r="C45" s="53" t="s">
        <v>41</v>
      </c>
      <c r="D45" s="56">
        <v>1000</v>
      </c>
      <c r="E45" s="11" t="s">
        <v>147</v>
      </c>
      <c r="F45" s="11"/>
      <c r="G45" s="11"/>
      <c r="H45" s="53"/>
      <c r="I45" s="11"/>
      <c r="J45" s="11"/>
    </row>
    <row r="46" spans="1:10" ht="15" x14ac:dyDescent="0.3">
      <c r="A46" s="11" t="s">
        <v>265</v>
      </c>
      <c r="B46" s="11"/>
      <c r="C46" s="53" t="s">
        <v>41</v>
      </c>
      <c r="D46" s="56">
        <v>565</v>
      </c>
      <c r="E46" s="11" t="s">
        <v>153</v>
      </c>
      <c r="F46" s="11"/>
      <c r="G46" s="11"/>
      <c r="H46" s="53"/>
      <c r="I46" s="11"/>
      <c r="J46" s="11"/>
    </row>
    <row r="47" spans="1:10" ht="15" x14ac:dyDescent="0.3">
      <c r="A47" s="11" t="s">
        <v>260</v>
      </c>
      <c r="B47" s="11"/>
      <c r="C47" s="53" t="s">
        <v>41</v>
      </c>
      <c r="D47" s="56">
        <v>2</v>
      </c>
      <c r="E47" s="11"/>
      <c r="F47" s="11"/>
      <c r="G47" s="11"/>
      <c r="H47" s="53"/>
      <c r="I47" s="11"/>
      <c r="J47" s="11"/>
    </row>
    <row r="48" spans="1:10" x14ac:dyDescent="0.3">
      <c r="A48" s="11" t="s">
        <v>259</v>
      </c>
      <c r="B48" s="11"/>
      <c r="C48" s="53" t="s">
        <v>41</v>
      </c>
      <c r="D48" s="59">
        <f>D47*D45</f>
        <v>2000</v>
      </c>
      <c r="E48" s="54" t="s">
        <v>147</v>
      </c>
      <c r="F48" s="11"/>
      <c r="G48" s="11"/>
      <c r="H48" s="53"/>
      <c r="I48" s="11"/>
      <c r="J48" s="11"/>
    </row>
    <row r="49" spans="1:10" x14ac:dyDescent="0.3">
      <c r="A49" s="11"/>
      <c r="B49" s="11"/>
      <c r="C49" s="53"/>
      <c r="F49" s="11"/>
      <c r="G49" s="11"/>
      <c r="H49" s="53"/>
      <c r="I49" s="11"/>
      <c r="J49" s="11"/>
    </row>
    <row r="50" spans="1:10" x14ac:dyDescent="0.3">
      <c r="A50" s="11"/>
      <c r="B50" s="11"/>
      <c r="C50" s="53"/>
      <c r="F50" s="11"/>
      <c r="G50" s="11"/>
      <c r="H50" s="53"/>
      <c r="I50" s="11"/>
      <c r="J50" s="11"/>
    </row>
    <row r="51" spans="1:10" x14ac:dyDescent="0.3">
      <c r="F51" s="11"/>
      <c r="G51" s="11"/>
      <c r="H51" s="53"/>
      <c r="I51" s="11"/>
      <c r="J51" s="11"/>
    </row>
    <row r="52" spans="1:10" x14ac:dyDescent="0.3">
      <c r="F52" s="11"/>
      <c r="G52" s="11"/>
      <c r="H52" s="53"/>
      <c r="I52" s="11"/>
      <c r="J52" s="11"/>
    </row>
    <row r="53" spans="1:10" x14ac:dyDescent="0.3">
      <c r="F53" s="11"/>
      <c r="G53" s="11"/>
      <c r="H53" s="53"/>
      <c r="I53" s="11"/>
      <c r="J53" s="11"/>
    </row>
    <row r="54" spans="1:10" x14ac:dyDescent="0.3">
      <c r="F54" s="11"/>
      <c r="G54" s="11"/>
      <c r="H54" s="53"/>
      <c r="I54" s="11"/>
      <c r="J54" s="11"/>
    </row>
    <row r="55" spans="1:10" ht="15" x14ac:dyDescent="0.3">
      <c r="A55" s="11"/>
      <c r="B55" s="11"/>
      <c r="C55" s="53"/>
      <c r="D55" s="56"/>
      <c r="E55" s="11"/>
      <c r="F55" s="11"/>
      <c r="G55" s="11"/>
      <c r="H55" s="53"/>
      <c r="I55" s="11"/>
      <c r="J55" s="11"/>
    </row>
    <row r="56" spans="1:10" x14ac:dyDescent="0.3">
      <c r="A56" s="11"/>
      <c r="B56" s="11"/>
      <c r="C56" s="53"/>
      <c r="E56" s="11"/>
      <c r="F56" s="11"/>
      <c r="G56" s="11"/>
      <c r="H56" s="53"/>
      <c r="I56" s="11"/>
      <c r="J56" s="11"/>
    </row>
    <row r="57" spans="1:10" x14ac:dyDescent="0.3">
      <c r="A57" s="11"/>
      <c r="B57" s="11"/>
      <c r="C57" s="53"/>
      <c r="F57" s="11"/>
      <c r="H57" s="2"/>
    </row>
    <row r="58" spans="1:10" x14ac:dyDescent="0.3">
      <c r="A58" s="11"/>
      <c r="B58" s="11"/>
      <c r="C58" s="53"/>
      <c r="F58" s="11"/>
    </row>
    <row r="59" spans="1:10" x14ac:dyDescent="0.3">
      <c r="A59" s="11"/>
      <c r="B59" s="11"/>
      <c r="C59" s="53"/>
      <c r="E59" s="11"/>
    </row>
    <row r="60" spans="1:10" x14ac:dyDescent="0.3">
      <c r="A60" s="11"/>
      <c r="B60" s="11"/>
      <c r="C60" s="53"/>
    </row>
    <row r="61" spans="1:10" x14ac:dyDescent="0.3">
      <c r="D61" s="56"/>
    </row>
    <row r="62" spans="1:10" x14ac:dyDescent="0.3">
      <c r="D62" s="56"/>
    </row>
    <row r="63" spans="1:10" x14ac:dyDescent="0.3">
      <c r="D63" s="56"/>
    </row>
    <row r="64" spans="1:10" x14ac:dyDescent="0.3">
      <c r="D64" s="56"/>
    </row>
    <row r="65" spans="4:4" x14ac:dyDescent="0.3">
      <c r="D65" s="56"/>
    </row>
    <row r="66" spans="4:4" x14ac:dyDescent="0.3">
      <c r="D66" s="56"/>
    </row>
  </sheetData>
  <mergeCells count="6">
    <mergeCell ref="A18:E18"/>
    <mergeCell ref="A1:E1"/>
    <mergeCell ref="A26:E26"/>
    <mergeCell ref="A34:E34"/>
    <mergeCell ref="A43:E43"/>
    <mergeCell ref="A12:E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3EE0D-23E4-4D00-873C-A8E6ECEFACDA}">
  <dimension ref="A1:O97"/>
  <sheetViews>
    <sheetView topLeftCell="A81" zoomScale="115" zoomScaleNormal="115" workbookViewId="0">
      <selection activeCell="B87" sqref="B87:C87"/>
    </sheetView>
  </sheetViews>
  <sheetFormatPr defaultRowHeight="14.4" x14ac:dyDescent="0.3"/>
  <cols>
    <col min="1" max="1" width="23.21875" style="1" bestFit="1" customWidth="1"/>
    <col min="2" max="4" width="17.21875" style="1" customWidth="1"/>
    <col min="5" max="5" width="6.88671875" bestFit="1" customWidth="1"/>
    <col min="6" max="6" width="15.6640625" bestFit="1" customWidth="1"/>
    <col min="7" max="7" width="10.109375" style="1" bestFit="1" customWidth="1"/>
    <col min="8" max="8" width="9" bestFit="1" customWidth="1"/>
    <col min="10" max="10" width="12.5546875" bestFit="1" customWidth="1"/>
  </cols>
  <sheetData>
    <row r="1" spans="1:8" x14ac:dyDescent="0.3">
      <c r="A1" s="68" t="s">
        <v>171</v>
      </c>
      <c r="B1" s="68"/>
      <c r="C1" s="68"/>
      <c r="D1"/>
      <c r="F1" s="24"/>
      <c r="G1"/>
    </row>
    <row r="2" spans="1:8" x14ac:dyDescent="0.3">
      <c r="A2" s="35" t="s">
        <v>165</v>
      </c>
      <c r="B2" s="1">
        <f>'Spesifikasi Amfibi'!D19</f>
        <v>54.37</v>
      </c>
      <c r="C2" s="27" t="s">
        <v>19</v>
      </c>
      <c r="F2" s="24"/>
    </row>
    <row r="3" spans="1:8" x14ac:dyDescent="0.3">
      <c r="A3" s="35" t="s">
        <v>148</v>
      </c>
      <c r="B3" s="5">
        <f>'Spesifikasi Amfibi'!D24</f>
        <v>30</v>
      </c>
      <c r="C3" s="4" t="s">
        <v>13</v>
      </c>
      <c r="D3"/>
      <c r="F3" s="32"/>
      <c r="G3"/>
    </row>
    <row r="4" spans="1:8" x14ac:dyDescent="0.3">
      <c r="A4" s="35" t="s">
        <v>149</v>
      </c>
      <c r="B4" s="35">
        <f>'Spesifikasi Amfibi'!D23</f>
        <v>0.91</v>
      </c>
      <c r="C4" s="4"/>
      <c r="D4"/>
      <c r="F4" s="24"/>
      <c r="G4"/>
    </row>
    <row r="5" spans="1:8" x14ac:dyDescent="0.3">
      <c r="A5" s="35" t="s">
        <v>151</v>
      </c>
      <c r="B5" s="52">
        <f>'Spesifikasi Amfibi'!D22</f>
        <v>1993</v>
      </c>
      <c r="C5" s="27" t="s">
        <v>147</v>
      </c>
      <c r="F5" s="24"/>
    </row>
    <row r="7" spans="1:8" x14ac:dyDescent="0.3">
      <c r="A7" s="68" t="s">
        <v>168</v>
      </c>
      <c r="B7" s="68"/>
      <c r="C7" s="68"/>
      <c r="F7" s="24"/>
    </row>
    <row r="8" spans="1:8" x14ac:dyDescent="0.3">
      <c r="A8" s="22" t="s">
        <v>166</v>
      </c>
      <c r="B8" s="34" t="s">
        <v>167</v>
      </c>
      <c r="C8" s="34"/>
      <c r="F8" s="24"/>
    </row>
    <row r="9" spans="1:8" x14ac:dyDescent="0.3">
      <c r="A9" s="23" t="s">
        <v>24</v>
      </c>
      <c r="B9" s="23">
        <v>1000</v>
      </c>
      <c r="C9" s="28" t="s">
        <v>147</v>
      </c>
      <c r="F9" s="24"/>
    </row>
    <row r="10" spans="1:8" x14ac:dyDescent="0.3">
      <c r="A10" s="35" t="s">
        <v>25</v>
      </c>
      <c r="B10" s="35">
        <f>B9*2</f>
        <v>2000</v>
      </c>
      <c r="C10" s="28" t="s">
        <v>147</v>
      </c>
      <c r="D10" s="1" t="str">
        <f>IF(B10&gt;='Spesifikasi Amfibi'!D22,"OK","REJECTED")</f>
        <v>OK</v>
      </c>
      <c r="F10" s="24"/>
    </row>
    <row r="11" spans="1:8" x14ac:dyDescent="0.3">
      <c r="A11" s="23" t="s">
        <v>152</v>
      </c>
      <c r="B11" s="23">
        <v>565</v>
      </c>
      <c r="C11" s="28" t="s">
        <v>153</v>
      </c>
      <c r="F11" s="24"/>
    </row>
    <row r="12" spans="1:8" x14ac:dyDescent="0.3">
      <c r="G12" s="2"/>
      <c r="H12" s="1"/>
    </row>
    <row r="13" spans="1:8" x14ac:dyDescent="0.3">
      <c r="A13" s="68" t="s">
        <v>169</v>
      </c>
      <c r="B13" s="68"/>
      <c r="C13" s="68"/>
      <c r="F13" s="24"/>
    </row>
    <row r="14" spans="1:8" x14ac:dyDescent="0.3">
      <c r="A14" s="22" t="s">
        <v>170</v>
      </c>
      <c r="B14" s="34">
        <v>630</v>
      </c>
      <c r="C14" s="34"/>
      <c r="F14" s="24"/>
    </row>
    <row r="15" spans="1:8" x14ac:dyDescent="0.3">
      <c r="A15" s="35" t="s">
        <v>150</v>
      </c>
      <c r="B15" s="35">
        <v>1000</v>
      </c>
      <c r="C15" s="28" t="s">
        <v>147</v>
      </c>
      <c r="F15" s="24"/>
    </row>
    <row r="16" spans="1:8" x14ac:dyDescent="0.3">
      <c r="A16" s="35" t="s">
        <v>25</v>
      </c>
      <c r="B16" s="35">
        <f>B15*2</f>
        <v>2000</v>
      </c>
      <c r="C16" s="28" t="s">
        <v>147</v>
      </c>
      <c r="D16" s="1" t="str">
        <f>IF(B16&gt;='Spesifikasi Amfibi'!D22,"OK","REJECTED")</f>
        <v>OK</v>
      </c>
      <c r="F16" s="24"/>
    </row>
    <row r="17" spans="1:7" x14ac:dyDescent="0.3">
      <c r="A17" s="35" t="s">
        <v>152</v>
      </c>
      <c r="B17" s="35">
        <v>8390</v>
      </c>
      <c r="C17" s="28" t="s">
        <v>153</v>
      </c>
      <c r="F17" s="24"/>
    </row>
    <row r="18" spans="1:7" x14ac:dyDescent="0.3">
      <c r="A18" s="35" t="s">
        <v>38</v>
      </c>
      <c r="B18" s="35">
        <v>2700</v>
      </c>
      <c r="C18" s="28" t="s">
        <v>11</v>
      </c>
      <c r="F18" s="24"/>
    </row>
    <row r="19" spans="1:7" x14ac:dyDescent="0.3">
      <c r="A19" s="35" t="s">
        <v>176</v>
      </c>
      <c r="B19" s="35">
        <v>1376</v>
      </c>
      <c r="C19" s="28" t="s">
        <v>11</v>
      </c>
      <c r="F19" s="24"/>
    </row>
    <row r="20" spans="1:7" x14ac:dyDescent="0.3">
      <c r="A20" s="35" t="s">
        <v>177</v>
      </c>
      <c r="B20" s="35">
        <v>1300</v>
      </c>
      <c r="C20" s="28" t="s">
        <v>11</v>
      </c>
      <c r="F20" s="24"/>
    </row>
    <row r="22" spans="1:7" x14ac:dyDescent="0.3">
      <c r="A22" s="68" t="s">
        <v>22</v>
      </c>
      <c r="B22" s="68"/>
      <c r="C22" s="68"/>
      <c r="G22" s="2"/>
    </row>
    <row r="23" spans="1:7" x14ac:dyDescent="0.3">
      <c r="A23" s="3" t="s">
        <v>10</v>
      </c>
      <c r="B23" s="69" t="s">
        <v>157</v>
      </c>
      <c r="C23" s="69"/>
    </row>
    <row r="24" spans="1:7" x14ac:dyDescent="0.3">
      <c r="A24" s="73" t="s">
        <v>178</v>
      </c>
      <c r="B24" s="74"/>
      <c r="C24" s="75"/>
    </row>
    <row r="25" spans="1:7" x14ac:dyDescent="0.3">
      <c r="A25" s="35" t="s">
        <v>179</v>
      </c>
      <c r="B25" s="35">
        <f>16*7+11*4</f>
        <v>156</v>
      </c>
      <c r="C25" s="35" t="s">
        <v>23</v>
      </c>
    </row>
    <row r="26" spans="1:7" x14ac:dyDescent="0.3">
      <c r="A26" s="73" t="s">
        <v>180</v>
      </c>
      <c r="B26" s="74"/>
      <c r="C26" s="75"/>
    </row>
    <row r="27" spans="1:7" x14ac:dyDescent="0.3">
      <c r="A27" s="35" t="s">
        <v>179</v>
      </c>
      <c r="B27" s="35">
        <f>56+77*7</f>
        <v>595</v>
      </c>
      <c r="C27" s="35" t="s">
        <v>23</v>
      </c>
    </row>
    <row r="28" spans="1:7" x14ac:dyDescent="0.3">
      <c r="A28" s="73" t="s">
        <v>181</v>
      </c>
      <c r="B28" s="74"/>
      <c r="C28" s="75"/>
    </row>
    <row r="29" spans="1:7" x14ac:dyDescent="0.3">
      <c r="A29" s="35" t="s">
        <v>179</v>
      </c>
      <c r="B29" s="35">
        <f>70+28</f>
        <v>98</v>
      </c>
      <c r="C29" s="35" t="s">
        <v>23</v>
      </c>
    </row>
    <row r="30" spans="1:7" x14ac:dyDescent="0.3">
      <c r="A30" s="35" t="s">
        <v>158</v>
      </c>
      <c r="B30" s="35">
        <f>B29+B27+B25</f>
        <v>849</v>
      </c>
      <c r="C30" s="35" t="s">
        <v>23</v>
      </c>
    </row>
    <row r="31" spans="1:7" x14ac:dyDescent="0.3">
      <c r="A31" s="35" t="s">
        <v>160</v>
      </c>
      <c r="B31" s="35">
        <v>300</v>
      </c>
      <c r="C31" s="35" t="s">
        <v>159</v>
      </c>
    </row>
    <row r="32" spans="1:7" x14ac:dyDescent="0.3">
      <c r="A32" s="46" t="s">
        <v>201</v>
      </c>
      <c r="B32" s="46">
        <f>B31*B30/1000</f>
        <v>254.7</v>
      </c>
      <c r="C32" s="46" t="s">
        <v>202</v>
      </c>
    </row>
    <row r="33" spans="1:15" x14ac:dyDescent="0.3">
      <c r="A33" s="35" t="s">
        <v>162</v>
      </c>
      <c r="B33" s="35">
        <v>3</v>
      </c>
      <c r="C33" s="35" t="s">
        <v>161</v>
      </c>
    </row>
    <row r="34" spans="1:15" x14ac:dyDescent="0.3">
      <c r="A34" s="35" t="s">
        <v>25</v>
      </c>
      <c r="B34" s="35">
        <f>B33*B30</f>
        <v>2547</v>
      </c>
      <c r="C34" s="35" t="s">
        <v>161</v>
      </c>
    </row>
    <row r="36" spans="1:15" x14ac:dyDescent="0.3">
      <c r="A36" s="68" t="s">
        <v>26</v>
      </c>
      <c r="B36" s="68"/>
      <c r="C36" s="68"/>
    </row>
    <row r="37" spans="1:15" x14ac:dyDescent="0.3">
      <c r="A37" s="3" t="s">
        <v>27</v>
      </c>
      <c r="B37" s="7">
        <f>B16</f>
        <v>2000</v>
      </c>
      <c r="C37" s="3" t="s">
        <v>147</v>
      </c>
    </row>
    <row r="38" spans="1:15" x14ac:dyDescent="0.3">
      <c r="A38" s="35" t="s">
        <v>40</v>
      </c>
      <c r="B38" s="6">
        <f>B34/B37</f>
        <v>1.2735000000000001</v>
      </c>
      <c r="C38" s="35" t="s">
        <v>175</v>
      </c>
    </row>
    <row r="39" spans="1:15" x14ac:dyDescent="0.3">
      <c r="A39" s="3" t="s">
        <v>12</v>
      </c>
      <c r="B39" s="5">
        <f>B3</f>
        <v>30</v>
      </c>
      <c r="C39" s="3" t="s">
        <v>13</v>
      </c>
    </row>
    <row r="40" spans="1:15" x14ac:dyDescent="0.3">
      <c r="A40" s="3" t="s">
        <v>14</v>
      </c>
      <c r="B40" s="7">
        <f>B38*B39</f>
        <v>38.205000000000005</v>
      </c>
      <c r="C40" s="3" t="s">
        <v>15</v>
      </c>
    </row>
    <row r="41" spans="1:15" x14ac:dyDescent="0.3">
      <c r="A41" s="3" t="s">
        <v>28</v>
      </c>
      <c r="B41" s="3">
        <v>60</v>
      </c>
      <c r="C41" s="3" t="s">
        <v>15</v>
      </c>
    </row>
    <row r="42" spans="1:15" x14ac:dyDescent="0.3">
      <c r="A42" s="3" t="s">
        <v>29</v>
      </c>
      <c r="B42" s="39">
        <f>B40/B41</f>
        <v>0.63675000000000004</v>
      </c>
      <c r="C42" s="3" t="s">
        <v>30</v>
      </c>
    </row>
    <row r="44" spans="1:15" x14ac:dyDescent="0.3">
      <c r="A44" s="72" t="s">
        <v>173</v>
      </c>
      <c r="B44" s="72"/>
      <c r="C44" s="72"/>
      <c r="D44" s="72"/>
      <c r="E44" s="72"/>
      <c r="F44" s="72"/>
      <c r="G44" s="72"/>
    </row>
    <row r="45" spans="1:15" x14ac:dyDescent="0.3">
      <c r="A45" s="34" t="s">
        <v>5</v>
      </c>
      <c r="B45" s="34" t="s">
        <v>4</v>
      </c>
      <c r="C45" s="34" t="s">
        <v>8</v>
      </c>
      <c r="D45" s="34" t="s">
        <v>6</v>
      </c>
      <c r="E45" s="34" t="s">
        <v>16</v>
      </c>
      <c r="F45" s="34" t="s">
        <v>17</v>
      </c>
      <c r="G45" s="34" t="s">
        <v>18</v>
      </c>
      <c r="K45" s="30"/>
      <c r="L45" s="30"/>
      <c r="M45" s="30"/>
      <c r="N45" s="30"/>
      <c r="O45" s="30"/>
    </row>
    <row r="46" spans="1:15" x14ac:dyDescent="0.3">
      <c r="A46" s="33" t="s">
        <v>7</v>
      </c>
      <c r="B46" s="33">
        <v>1</v>
      </c>
      <c r="C46" s="37">
        <f>SUM(D71:D80,D88:D97)*1.1</f>
        <v>12235.299427943539</v>
      </c>
      <c r="D46" s="7">
        <f>B46*C46</f>
        <v>12235.299427943539</v>
      </c>
      <c r="E46" s="43">
        <v>7500</v>
      </c>
      <c r="F46" s="44">
        <v>0</v>
      </c>
      <c r="G46" s="44">
        <f>'Spesifikasi Amfibi'!D4/2</f>
        <v>1750</v>
      </c>
      <c r="I46">
        <f>C46/1000</f>
        <v>12.23529942794354</v>
      </c>
      <c r="K46" s="29">
        <f>E46/1000</f>
        <v>7.5</v>
      </c>
      <c r="L46" s="29">
        <f t="shared" ref="L46:M46" si="0">F46/1000</f>
        <v>0</v>
      </c>
      <c r="M46" s="29">
        <f t="shared" si="0"/>
        <v>1.75</v>
      </c>
      <c r="N46" s="29"/>
      <c r="O46" s="29"/>
    </row>
    <row r="47" spans="1:15" x14ac:dyDescent="0.3">
      <c r="A47" s="33" t="s">
        <v>21</v>
      </c>
      <c r="B47" s="33">
        <v>74</v>
      </c>
      <c r="C47" s="33">
        <v>63.3</v>
      </c>
      <c r="D47" s="7">
        <f t="shared" ref="D47:D50" si="1">B47*C47</f>
        <v>4684.2</v>
      </c>
      <c r="E47" s="44">
        <v>7340</v>
      </c>
      <c r="F47" s="44">
        <v>0</v>
      </c>
      <c r="G47" s="44">
        <v>2080</v>
      </c>
      <c r="I47">
        <f t="shared" ref="I47:I50" si="2">C47/1000</f>
        <v>6.3299999999999995E-2</v>
      </c>
      <c r="K47" s="29">
        <f t="shared" ref="K47:K50" si="3">E47/1000</f>
        <v>7.34</v>
      </c>
      <c r="L47" s="29">
        <f t="shared" ref="L47:L50" si="4">F47/1000</f>
        <v>0</v>
      </c>
      <c r="M47" s="29">
        <f t="shared" ref="M47:M50" si="5">G47/1000</f>
        <v>2.08</v>
      </c>
      <c r="N47" s="31"/>
      <c r="O47" s="31"/>
    </row>
    <row r="48" spans="1:15" x14ac:dyDescent="0.3">
      <c r="A48" s="33" t="s">
        <v>9</v>
      </c>
      <c r="B48" s="33">
        <f>B30</f>
        <v>849</v>
      </c>
      <c r="C48" s="38">
        <v>21.5</v>
      </c>
      <c r="D48" s="7">
        <f t="shared" si="1"/>
        <v>18253.5</v>
      </c>
      <c r="E48" s="43">
        <v>8790</v>
      </c>
      <c r="F48" s="44">
        <v>0</v>
      </c>
      <c r="G48" s="44">
        <v>735</v>
      </c>
      <c r="I48">
        <f t="shared" si="2"/>
        <v>2.1499999999999998E-2</v>
      </c>
      <c r="K48" s="29">
        <f t="shared" si="3"/>
        <v>8.7899999999999991</v>
      </c>
      <c r="L48" s="29">
        <f t="shared" si="4"/>
        <v>0</v>
      </c>
      <c r="M48" s="29">
        <f t="shared" si="5"/>
        <v>0.73499999999999999</v>
      </c>
      <c r="N48" s="29"/>
      <c r="O48" s="29"/>
    </row>
    <row r="49" spans="1:15" x14ac:dyDescent="0.3">
      <c r="A49" s="33" t="s">
        <v>154</v>
      </c>
      <c r="B49" s="33">
        <v>2</v>
      </c>
      <c r="C49" s="38">
        <f>B11</f>
        <v>565</v>
      </c>
      <c r="D49" s="7">
        <f t="shared" si="1"/>
        <v>1130</v>
      </c>
      <c r="E49" s="44">
        <v>1490</v>
      </c>
      <c r="F49" s="44">
        <v>0</v>
      </c>
      <c r="G49" s="44">
        <v>360</v>
      </c>
      <c r="I49">
        <f t="shared" si="2"/>
        <v>0.56499999999999995</v>
      </c>
      <c r="K49" s="29">
        <f t="shared" si="3"/>
        <v>1.49</v>
      </c>
      <c r="L49" s="29">
        <f t="shared" si="4"/>
        <v>0</v>
      </c>
      <c r="M49" s="29">
        <f t="shared" si="5"/>
        <v>0.36</v>
      </c>
      <c r="N49" s="29"/>
      <c r="O49" s="29"/>
    </row>
    <row r="50" spans="1:15" x14ac:dyDescent="0.3">
      <c r="A50" s="33" t="s">
        <v>42</v>
      </c>
      <c r="B50" s="33">
        <v>2</v>
      </c>
      <c r="C50" s="38">
        <f>B17</f>
        <v>8390</v>
      </c>
      <c r="D50" s="7">
        <f t="shared" si="1"/>
        <v>16780</v>
      </c>
      <c r="E50" s="44">
        <v>5320</v>
      </c>
      <c r="F50" s="44">
        <v>0</v>
      </c>
      <c r="G50" s="44">
        <v>650</v>
      </c>
      <c r="I50">
        <f t="shared" si="2"/>
        <v>8.39</v>
      </c>
      <c r="K50" s="29">
        <f t="shared" si="3"/>
        <v>5.32</v>
      </c>
      <c r="L50" s="29">
        <f t="shared" si="4"/>
        <v>0</v>
      </c>
      <c r="M50" s="29">
        <f t="shared" si="5"/>
        <v>0.65</v>
      </c>
      <c r="N50" s="29"/>
      <c r="O50" s="29"/>
    </row>
    <row r="51" spans="1:15" x14ac:dyDescent="0.3">
      <c r="G51" s="2"/>
      <c r="K51" s="29"/>
    </row>
    <row r="52" spans="1:15" x14ac:dyDescent="0.3">
      <c r="A52" s="68" t="s">
        <v>174</v>
      </c>
      <c r="B52" s="68"/>
      <c r="C52" s="68"/>
      <c r="G52" s="2"/>
      <c r="K52" s="29"/>
    </row>
    <row r="53" spans="1:15" x14ac:dyDescent="0.3">
      <c r="A53" s="36" t="s">
        <v>165</v>
      </c>
      <c r="B53" s="36">
        <f>'Spesifikasi Amfibi'!D19</f>
        <v>54.37</v>
      </c>
      <c r="C53" s="36" t="s">
        <v>19</v>
      </c>
      <c r="F53" s="24">
        <f>B53*1000</f>
        <v>54370</v>
      </c>
      <c r="G53" s="2"/>
    </row>
    <row r="54" spans="1:15" x14ac:dyDescent="0.3">
      <c r="A54" s="36" t="s">
        <v>152</v>
      </c>
      <c r="B54" s="6">
        <f>SUM(D46:D50)/1000</f>
        <v>53.082999427943534</v>
      </c>
      <c r="C54" s="36" t="s">
        <v>19</v>
      </c>
      <c r="F54" s="24"/>
      <c r="G54" s="2"/>
    </row>
    <row r="55" spans="1:15" x14ac:dyDescent="0.3">
      <c r="A55" s="36" t="s">
        <v>172</v>
      </c>
      <c r="B55" s="6">
        <f>B53-B54</f>
        <v>1.2870005720564635</v>
      </c>
      <c r="C55" s="36" t="s">
        <v>19</v>
      </c>
      <c r="F55" s="24"/>
      <c r="G55" s="2"/>
    </row>
    <row r="56" spans="1:15" x14ac:dyDescent="0.3">
      <c r="A56" s="41" t="s">
        <v>182</v>
      </c>
      <c r="B56" s="6">
        <f>SUM(D46,D48,D49,D50)/1000</f>
        <v>48.398799427943537</v>
      </c>
      <c r="C56" s="41" t="s">
        <v>19</v>
      </c>
      <c r="F56" s="24">
        <f>B56*1000</f>
        <v>48398.799427943537</v>
      </c>
      <c r="G56" s="2"/>
    </row>
    <row r="57" spans="1:15" x14ac:dyDescent="0.3">
      <c r="A57" s="41" t="s">
        <v>183</v>
      </c>
      <c r="B57" s="6">
        <v>7101</v>
      </c>
      <c r="C57" s="41" t="s">
        <v>11</v>
      </c>
      <c r="F57" s="24"/>
      <c r="G57" s="2"/>
    </row>
    <row r="58" spans="1:15" x14ac:dyDescent="0.3">
      <c r="A58" s="41" t="s">
        <v>184</v>
      </c>
      <c r="B58" s="6">
        <f>SUMPRODUCT(D46:D50,E46:E50)/SUM(D46:D50)</f>
        <v>7112.4153265316527</v>
      </c>
      <c r="C58" s="41" t="s">
        <v>11</v>
      </c>
      <c r="F58" s="24"/>
      <c r="G58" s="2"/>
    </row>
    <row r="59" spans="1:15" x14ac:dyDescent="0.3">
      <c r="A59" s="41" t="s">
        <v>185</v>
      </c>
      <c r="B59" s="6">
        <f>SUMPRODUCT(D46:D50,G46:G50)/SUM(D46:D50)</f>
        <v>1052.785884391503</v>
      </c>
      <c r="C59" s="41" t="s">
        <v>11</v>
      </c>
      <c r="F59" s="24">
        <f>B59/1000</f>
        <v>1.052785884391503</v>
      </c>
      <c r="G59" s="2"/>
    </row>
    <row r="60" spans="1:15" x14ac:dyDescent="0.3">
      <c r="A60" s="32"/>
      <c r="B60" s="42"/>
      <c r="C60" s="32"/>
      <c r="G60" s="2"/>
    </row>
    <row r="61" spans="1:15" x14ac:dyDescent="0.3">
      <c r="G61" s="2"/>
    </row>
    <row r="62" spans="1:15" x14ac:dyDescent="0.3">
      <c r="A62" s="65" t="s">
        <v>20</v>
      </c>
      <c r="B62" s="66"/>
      <c r="C62" s="67"/>
      <c r="G62" s="2"/>
      <c r="H62" s="1"/>
    </row>
    <row r="63" spans="1:15" ht="16.2" x14ac:dyDescent="0.3">
      <c r="A63" s="3" t="s">
        <v>0</v>
      </c>
      <c r="B63" s="5">
        <v>195</v>
      </c>
      <c r="C63" s="4" t="s">
        <v>1</v>
      </c>
      <c r="G63" s="2"/>
    </row>
    <row r="64" spans="1:15" ht="16.2" x14ac:dyDescent="0.3">
      <c r="A64" s="3" t="s">
        <v>2</v>
      </c>
      <c r="B64" s="3">
        <v>2620</v>
      </c>
      <c r="C64" s="4" t="s">
        <v>3</v>
      </c>
      <c r="G64" s="2"/>
    </row>
    <row r="65" spans="1:8" x14ac:dyDescent="0.3">
      <c r="G65" s="2"/>
    </row>
    <row r="66" spans="1:8" ht="16.2" x14ac:dyDescent="0.3">
      <c r="A66" s="21" t="s">
        <v>113</v>
      </c>
      <c r="B66" s="6">
        <f>0.1*B63</f>
        <v>19.5</v>
      </c>
      <c r="C66" s="10" t="s">
        <v>1</v>
      </c>
    </row>
    <row r="67" spans="1:8" ht="16.2" x14ac:dyDescent="0.3">
      <c r="A67" s="21" t="s">
        <v>163</v>
      </c>
      <c r="B67" s="6">
        <f>0.8*B63</f>
        <v>156</v>
      </c>
      <c r="C67" s="10" t="s">
        <v>1</v>
      </c>
    </row>
    <row r="68" spans="1:8" ht="16.2" x14ac:dyDescent="0.3">
      <c r="A68" s="21" t="s">
        <v>164</v>
      </c>
      <c r="B68" s="6">
        <f>0.1*B63</f>
        <v>19.5</v>
      </c>
      <c r="C68" s="10" t="s">
        <v>1</v>
      </c>
    </row>
    <row r="70" spans="1:8" x14ac:dyDescent="0.3">
      <c r="A70" s="68" t="s">
        <v>155</v>
      </c>
      <c r="B70" s="68"/>
      <c r="C70" s="68"/>
      <c r="D70" s="9" t="s">
        <v>114</v>
      </c>
    </row>
    <row r="71" spans="1:8" x14ac:dyDescent="0.3">
      <c r="A71" s="10" t="s">
        <v>97</v>
      </c>
      <c r="B71" s="7">
        <f>ROUNDUP(Construction!C29,0)</f>
        <v>8</v>
      </c>
      <c r="C71" s="10" t="s">
        <v>11</v>
      </c>
      <c r="D71" s="7">
        <f>B71*$B$66*$B$64*10^-3</f>
        <v>408.72</v>
      </c>
    </row>
    <row r="72" spans="1:8" x14ac:dyDescent="0.3">
      <c r="A72" s="10" t="s">
        <v>96</v>
      </c>
      <c r="B72" s="7">
        <f>ROUNDUP(Construction!C25,0)</f>
        <v>10</v>
      </c>
      <c r="C72" s="10" t="s">
        <v>11</v>
      </c>
      <c r="D72" s="7">
        <f>B72*$B$67*$B$64*10^-3</f>
        <v>4087.2000000000003</v>
      </c>
    </row>
    <row r="73" spans="1:8" x14ac:dyDescent="0.3">
      <c r="A73" s="10" t="s">
        <v>98</v>
      </c>
      <c r="B73" s="7">
        <f>ROUNDUP(Construction!C33,0)</f>
        <v>14</v>
      </c>
      <c r="C73" s="10" t="s">
        <v>11</v>
      </c>
      <c r="D73" s="7">
        <f>B73*$B$68*$B$64*10^-3</f>
        <v>715.26</v>
      </c>
    </row>
    <row r="74" spans="1:8" x14ac:dyDescent="0.3">
      <c r="A74" s="10" t="s">
        <v>100</v>
      </c>
      <c r="B74" s="7">
        <f>ROUNDUP(Construction!C47,0)</f>
        <v>7</v>
      </c>
      <c r="C74" s="10" t="s">
        <v>11</v>
      </c>
      <c r="D74" s="7">
        <f>B74*$B$66*$B$64*10^-3</f>
        <v>357.63</v>
      </c>
    </row>
    <row r="75" spans="1:8" x14ac:dyDescent="0.3">
      <c r="A75" s="10" t="s">
        <v>101</v>
      </c>
      <c r="B75" s="10">
        <f>ROUNDUP(Construction!C47,0)</f>
        <v>7</v>
      </c>
      <c r="C75" s="10" t="s">
        <v>11</v>
      </c>
      <c r="D75" s="7">
        <f>B75*$B$67*$B$64*10^-3</f>
        <v>2861.04</v>
      </c>
    </row>
    <row r="76" spans="1:8" x14ac:dyDescent="0.3">
      <c r="A76" s="10" t="s">
        <v>102</v>
      </c>
      <c r="B76" s="8">
        <f>ROUNDUP(Construction!C47,0)</f>
        <v>7</v>
      </c>
      <c r="C76" s="10" t="s">
        <v>11</v>
      </c>
      <c r="D76" s="7">
        <f>B76*$B$68*$B$64*10^-3</f>
        <v>357.63</v>
      </c>
    </row>
    <row r="77" spans="1:8" x14ac:dyDescent="0.3">
      <c r="A77" s="10" t="s">
        <v>99</v>
      </c>
      <c r="B77" s="10">
        <f>ROUNDUP(Construction!C17,0)</f>
        <v>16</v>
      </c>
      <c r="C77" s="10" t="s">
        <v>11</v>
      </c>
      <c r="D77" s="7">
        <f>B77*F77*H77*B64*10^-9</f>
        <v>505.92409600000002</v>
      </c>
      <c r="E77" s="1" t="s">
        <v>115</v>
      </c>
      <c r="F77" s="2">
        <f>ROUNDUP(Construction!C16/50,0)*50</f>
        <v>800</v>
      </c>
      <c r="G77" s="1" t="s">
        <v>32</v>
      </c>
      <c r="H77" s="1">
        <f>'Spesifikasi Amfibi'!D2</f>
        <v>15086</v>
      </c>
    </row>
    <row r="78" spans="1:8" x14ac:dyDescent="0.3">
      <c r="A78" s="10" t="s">
        <v>103</v>
      </c>
      <c r="B78" s="10">
        <f>ROUNDUP(Construction!C25,0)</f>
        <v>10</v>
      </c>
      <c r="C78" s="10" t="s">
        <v>11</v>
      </c>
      <c r="D78" s="7">
        <f>B78*$B$66*$B$64*10^-3</f>
        <v>510.90000000000003</v>
      </c>
    </row>
    <row r="79" spans="1:8" x14ac:dyDescent="0.3">
      <c r="A79" s="10" t="s">
        <v>104</v>
      </c>
      <c r="B79" s="10">
        <f>ROUNDUP(Construction!C33,0)</f>
        <v>14</v>
      </c>
      <c r="C79" s="10" t="s">
        <v>11</v>
      </c>
      <c r="D79" s="7">
        <f>B79*$B$68*$B$64*10^-3</f>
        <v>715.26</v>
      </c>
    </row>
    <row r="80" spans="1:8" x14ac:dyDescent="0.3">
      <c r="A80" s="10" t="s">
        <v>105</v>
      </c>
      <c r="B80" s="10">
        <f>ROUNDUP(Construction!C51,0)</f>
        <v>14</v>
      </c>
      <c r="C80" s="10" t="s">
        <v>11</v>
      </c>
      <c r="D80" s="7">
        <f>B80*'Spesifikasi Amfibi'!D15*'Spesifikasi Amfibi'!D3*10^-9*B64</f>
        <v>243.922</v>
      </c>
    </row>
    <row r="82" spans="1:4" x14ac:dyDescent="0.3">
      <c r="A82" s="68" t="s">
        <v>156</v>
      </c>
      <c r="B82" s="68"/>
      <c r="C82" s="68"/>
      <c r="D82" s="9" t="s">
        <v>114</v>
      </c>
    </row>
    <row r="83" spans="1:4" x14ac:dyDescent="0.3">
      <c r="A83" s="22" t="s">
        <v>116</v>
      </c>
      <c r="B83" s="70">
        <f>ROUNDUP('Spesifikasi Amfibi'!D2/'Spesifikasi Amfibi'!D13,0)</f>
        <v>31</v>
      </c>
      <c r="C83" s="71"/>
      <c r="D83" s="22"/>
    </row>
    <row r="84" spans="1:4" x14ac:dyDescent="0.3">
      <c r="A84" s="22" t="s">
        <v>117</v>
      </c>
      <c r="B84" s="70">
        <f>ROUNDUP('Spesifikasi Amfibi'!D3/'Spesifikasi Amfibi'!D13,0)</f>
        <v>8</v>
      </c>
      <c r="C84" s="71"/>
      <c r="D84" s="22"/>
    </row>
    <row r="85" spans="1:4" x14ac:dyDescent="0.3">
      <c r="A85" s="22" t="s">
        <v>118</v>
      </c>
      <c r="B85" s="70">
        <f>ROUNDUP(0.1*$B$83,0)</f>
        <v>4</v>
      </c>
      <c r="C85" s="71"/>
      <c r="D85" s="22"/>
    </row>
    <row r="86" spans="1:4" x14ac:dyDescent="0.3">
      <c r="A86" s="22" t="s">
        <v>119</v>
      </c>
      <c r="B86" s="70">
        <f>B83-B85-B87</f>
        <v>23</v>
      </c>
      <c r="C86" s="71"/>
      <c r="D86" s="22"/>
    </row>
    <row r="87" spans="1:4" x14ac:dyDescent="0.3">
      <c r="A87" s="22" t="s">
        <v>108</v>
      </c>
      <c r="B87" s="70">
        <f>ROUNDUP(0.1*$B$83,0)</f>
        <v>4</v>
      </c>
      <c r="C87" s="71"/>
      <c r="D87" s="22"/>
    </row>
    <row r="88" spans="1:4" ht="16.2" x14ac:dyDescent="0.3">
      <c r="A88" s="10" t="s">
        <v>106</v>
      </c>
      <c r="B88" s="7">
        <f>Construction!C55</f>
        <v>58.8</v>
      </c>
      <c r="C88" s="10" t="s">
        <v>51</v>
      </c>
      <c r="D88" s="7">
        <f>B88*$B$64*10^-6*B85*'Spesifikasi Amfibi'!D4/1000</f>
        <v>2.156784</v>
      </c>
    </row>
    <row r="89" spans="1:4" ht="16.2" x14ac:dyDescent="0.3">
      <c r="A89" s="10" t="s">
        <v>107</v>
      </c>
      <c r="B89" s="7">
        <f>Construction!C55</f>
        <v>58.8</v>
      </c>
      <c r="C89" s="10" t="s">
        <v>51</v>
      </c>
      <c r="D89" s="7">
        <f>B89*$B$64*10^-6*B86*'Spesifikasi Amfibi'!D4/1000</f>
        <v>12.401508</v>
      </c>
    </row>
    <row r="90" spans="1:4" ht="16.2" x14ac:dyDescent="0.3">
      <c r="A90" s="10" t="s">
        <v>108</v>
      </c>
      <c r="B90" s="7">
        <f>Construction!C59</f>
        <v>68.90625</v>
      </c>
      <c r="C90" s="10" t="s">
        <v>109</v>
      </c>
      <c r="D90" s="7">
        <f>B90*$B$64*10^-6*B87*'Spesifikasi Amfibi'!D4/1000</f>
        <v>2.5274812499999997</v>
      </c>
    </row>
    <row r="91" spans="1:4" ht="16.2" x14ac:dyDescent="0.3">
      <c r="A91" s="10" t="s">
        <v>73</v>
      </c>
      <c r="B91" s="7">
        <f>Construction!C63</f>
        <v>90.037499999999994</v>
      </c>
      <c r="C91" s="10" t="s">
        <v>109</v>
      </c>
      <c r="D91" s="7">
        <f>B91*$B$64*10^-6*B84*'Spesifikasi Amfibi'!D2/1000</f>
        <v>28.470087995999993</v>
      </c>
    </row>
    <row r="92" spans="1:4" ht="16.2" x14ac:dyDescent="0.3">
      <c r="A92" s="10" t="s">
        <v>91</v>
      </c>
      <c r="B92" s="7">
        <f>Construction!C99</f>
        <v>72.320862799999986</v>
      </c>
      <c r="C92" s="10" t="s">
        <v>109</v>
      </c>
      <c r="D92" s="7">
        <f>B92*$B$64*10^-6*B84*'Spesifikasi Amfibi'!D3/1000</f>
        <v>5.7602120802943979</v>
      </c>
    </row>
    <row r="93" spans="1:4" ht="16.2" x14ac:dyDescent="0.3">
      <c r="A93" s="10" t="s">
        <v>88</v>
      </c>
      <c r="B93" s="8">
        <f>Construction!C95</f>
        <v>304.0625</v>
      </c>
      <c r="C93" s="10" t="s">
        <v>109</v>
      </c>
      <c r="D93" s="7">
        <f>B93*$B$64*10^-6*B84*'Spesifikasi Amfibi'!D2/1000</f>
        <v>96.145340899999994</v>
      </c>
    </row>
    <row r="94" spans="1:4" ht="16.2" x14ac:dyDescent="0.3">
      <c r="A94" s="10" t="s">
        <v>110</v>
      </c>
      <c r="B94" s="7">
        <f>Construction!C91</f>
        <v>389.15799999999996</v>
      </c>
      <c r="C94" s="10" t="s">
        <v>109</v>
      </c>
      <c r="D94" s="7">
        <f>B94*$B$64*10^-6*B83*'Spesifikasi Amfibi'!D3/1000</f>
        <v>120.10816848799998</v>
      </c>
    </row>
    <row r="95" spans="1:4" ht="16.2" x14ac:dyDescent="0.3">
      <c r="A95" s="10" t="s">
        <v>94</v>
      </c>
      <c r="B95" s="7">
        <f>Construction!C107</f>
        <v>112.9296875</v>
      </c>
      <c r="C95" s="10" t="s">
        <v>109</v>
      </c>
      <c r="D95" s="7">
        <f>B95*B64*10^-6*'Spesifikasi Amfibi'!D4/1000</f>
        <v>1.0355652343749999</v>
      </c>
    </row>
    <row r="96" spans="1:4" x14ac:dyDescent="0.3">
      <c r="A96" s="10" t="s">
        <v>111</v>
      </c>
      <c r="B96" s="10">
        <f>ROUNDUP(Construction!C71,0)</f>
        <v>14</v>
      </c>
      <c r="C96" s="10" t="s">
        <v>11</v>
      </c>
      <c r="D96" s="40">
        <f>B96*'Spesifikasi Amfibi'!D2*100*B64*10^-9</f>
        <v>55.335448000000007</v>
      </c>
    </row>
    <row r="97" spans="1:4" x14ac:dyDescent="0.3">
      <c r="A97" s="10" t="s">
        <v>112</v>
      </c>
      <c r="B97" s="10">
        <f>ROUNDUP(Construction!C76,0)</f>
        <v>9</v>
      </c>
      <c r="C97" s="10" t="s">
        <v>11</v>
      </c>
      <c r="D97" s="7">
        <f>B97*'Spesifikasi Amfibi'!D2*100*10^-9*B64</f>
        <v>35.572788000000003</v>
      </c>
    </row>
  </sheetData>
  <mergeCells count="19">
    <mergeCell ref="A1:C1"/>
    <mergeCell ref="A7:C7"/>
    <mergeCell ref="A13:C13"/>
    <mergeCell ref="B86:C86"/>
    <mergeCell ref="B87:C87"/>
    <mergeCell ref="A82:C82"/>
    <mergeCell ref="B83:C83"/>
    <mergeCell ref="B84:C84"/>
    <mergeCell ref="B85:C85"/>
    <mergeCell ref="A62:C62"/>
    <mergeCell ref="A22:C22"/>
    <mergeCell ref="B23:C23"/>
    <mergeCell ref="A36:C36"/>
    <mergeCell ref="A70:C70"/>
    <mergeCell ref="A44:G44"/>
    <mergeCell ref="A52:C52"/>
    <mergeCell ref="A24:C24"/>
    <mergeCell ref="A26:C26"/>
    <mergeCell ref="A28:C28"/>
  </mergeCells>
  <phoneticPr fontId="6" type="noConversion"/>
  <conditionalFormatting sqref="D10">
    <cfRule type="containsText" dxfId="2" priority="3" operator="containsText" text="REJECTED">
      <formula>NOT(ISERROR(SEARCH("REJECTED",D10)))</formula>
    </cfRule>
  </conditionalFormatting>
  <conditionalFormatting sqref="D16">
    <cfRule type="containsText" dxfId="1" priority="2" operator="containsText" text="REJECTED">
      <formula>NOT(ISERROR(SEARCH("REJECTED",D16)))</formula>
    </cfRule>
  </conditionalFormatting>
  <conditionalFormatting sqref="D55:D60">
    <cfRule type="containsText" dxfId="0" priority="1" operator="containsText" text="REJECTED">
      <formula>NOT(ISERROR(SEARCH("REJECTED",D55)))</formula>
    </cfRule>
  </conditionalFormatting>
  <pageMargins left="0.7" right="0.7" top="0.75" bottom="0.75" header="0.3" footer="0.3"/>
  <pageSetup orientation="portrait" r:id="rId1"/>
  <ignoredErrors>
    <ignoredError sqref="B86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4FCE6-EB47-479D-AE0F-8FD1AA55B13C}">
  <dimension ref="A1:V84"/>
  <sheetViews>
    <sheetView topLeftCell="A41" zoomScale="145" zoomScaleNormal="145" workbookViewId="0">
      <selection activeCell="D79" sqref="D79"/>
    </sheetView>
  </sheetViews>
  <sheetFormatPr defaultRowHeight="14.4" x14ac:dyDescent="0.3"/>
  <cols>
    <col min="2" max="2" width="2" style="1" bestFit="1" customWidth="1"/>
    <col min="3" max="3" width="8.88671875" style="48"/>
    <col min="4" max="4" width="16.5546875" bestFit="1" customWidth="1"/>
    <col min="7" max="7" width="2" customWidth="1"/>
    <col min="15" max="15" width="9.33203125" bestFit="1" customWidth="1"/>
  </cols>
  <sheetData>
    <row r="1" spans="1:4" x14ac:dyDescent="0.3">
      <c r="A1" s="18" t="s">
        <v>121</v>
      </c>
    </row>
    <row r="3" spans="1:4" x14ac:dyDescent="0.3">
      <c r="A3" t="s">
        <v>120</v>
      </c>
      <c r="B3" s="1" t="s">
        <v>47</v>
      </c>
      <c r="C3" s="49">
        <f>0.5*C4*C5*C6*C7^2</f>
        <v>1913.9400000000007</v>
      </c>
      <c r="D3" t="s">
        <v>126</v>
      </c>
    </row>
    <row r="4" spans="1:4" ht="16.2" x14ac:dyDescent="0.3">
      <c r="A4" t="s">
        <v>124</v>
      </c>
      <c r="B4" s="1" t="s">
        <v>47</v>
      </c>
      <c r="C4" s="48">
        <v>1.2</v>
      </c>
      <c r="D4" t="s">
        <v>3</v>
      </c>
    </row>
    <row r="5" spans="1:4" x14ac:dyDescent="0.3">
      <c r="A5" t="s">
        <v>122</v>
      </c>
      <c r="B5" s="1" t="s">
        <v>47</v>
      </c>
      <c r="C5" s="48">
        <v>1.05</v>
      </c>
    </row>
    <row r="6" spans="1:4" ht="16.2" x14ac:dyDescent="0.3">
      <c r="A6" t="s">
        <v>76</v>
      </c>
      <c r="B6" s="1" t="s">
        <v>47</v>
      </c>
      <c r="C6" s="48">
        <v>3.875</v>
      </c>
      <c r="D6" t="s">
        <v>1</v>
      </c>
    </row>
    <row r="7" spans="1:4" x14ac:dyDescent="0.3">
      <c r="A7" t="s">
        <v>123</v>
      </c>
      <c r="B7" s="1" t="s">
        <v>47</v>
      </c>
      <c r="C7" s="48">
        <f>0.28*'Spesifikasi Amfibi'!D30</f>
        <v>28.000000000000004</v>
      </c>
      <c r="D7" t="s">
        <v>125</v>
      </c>
    </row>
    <row r="9" spans="1:4" x14ac:dyDescent="0.3">
      <c r="A9" s="18" t="s">
        <v>130</v>
      </c>
    </row>
    <row r="11" spans="1:4" x14ac:dyDescent="0.3">
      <c r="A11" t="s">
        <v>127</v>
      </c>
      <c r="B11" s="1" t="s">
        <v>47</v>
      </c>
      <c r="C11" s="50">
        <f>C12+C13*('Spesifikasi Amfibi'!D30/100)^2.5</f>
        <v>1.4999999999999999E-2</v>
      </c>
    </row>
    <row r="12" spans="1:4" x14ac:dyDescent="0.3">
      <c r="A12" t="s">
        <v>128</v>
      </c>
      <c r="B12" s="1" t="s">
        <v>47</v>
      </c>
      <c r="C12" s="50">
        <v>0.01</v>
      </c>
    </row>
    <row r="13" spans="1:4" x14ac:dyDescent="0.3">
      <c r="A13" t="s">
        <v>129</v>
      </c>
      <c r="B13" s="1" t="s">
        <v>47</v>
      </c>
      <c r="C13" s="50">
        <v>5.0000000000000001E-3</v>
      </c>
    </row>
    <row r="15" spans="1:4" x14ac:dyDescent="0.3">
      <c r="A15" t="s">
        <v>131</v>
      </c>
      <c r="B15" s="1" t="s">
        <v>47</v>
      </c>
      <c r="C15" s="49">
        <f>C11*'Teknis Air'!B53*1000*9.8</f>
        <v>7992.3899999999994</v>
      </c>
      <c r="D15" t="s">
        <v>126</v>
      </c>
    </row>
    <row r="17" spans="1:4" x14ac:dyDescent="0.3">
      <c r="A17" s="18" t="s">
        <v>139</v>
      </c>
    </row>
    <row r="18" spans="1:4" x14ac:dyDescent="0.3">
      <c r="A18" s="18"/>
    </row>
    <row r="19" spans="1:4" x14ac:dyDescent="0.3">
      <c r="A19" t="s">
        <v>140</v>
      </c>
      <c r="B19" s="1" t="s">
        <v>47</v>
      </c>
      <c r="C19" s="49">
        <f>'Teknis Air'!B54*1000*9.8*SIN(RADIANS('Spesifikasi Amfibi'!D32))</f>
        <v>260106.69719692331</v>
      </c>
      <c r="D19" t="s">
        <v>126</v>
      </c>
    </row>
    <row r="21" spans="1:4" x14ac:dyDescent="0.3">
      <c r="A21" s="18" t="s">
        <v>137</v>
      </c>
    </row>
    <row r="22" spans="1:4" x14ac:dyDescent="0.3">
      <c r="A22" s="18"/>
    </row>
    <row r="23" spans="1:4" x14ac:dyDescent="0.3">
      <c r="A23" s="25" t="s">
        <v>138</v>
      </c>
      <c r="B23" s="1" t="s">
        <v>47</v>
      </c>
      <c r="C23" s="49">
        <f>C3+C15*COS(RADIANS('Spesifikasi Amfibi'!D32))+C19</f>
        <v>268942.24997387605</v>
      </c>
      <c r="D23" t="s">
        <v>126</v>
      </c>
    </row>
    <row r="25" spans="1:4" x14ac:dyDescent="0.3">
      <c r="A25" s="18" t="s">
        <v>237</v>
      </c>
    </row>
    <row r="27" spans="1:4" x14ac:dyDescent="0.3">
      <c r="A27" t="s">
        <v>133</v>
      </c>
      <c r="B27" s="1" t="s">
        <v>47</v>
      </c>
      <c r="C27" s="49">
        <f>C23*C28</f>
        <v>131781.70248719928</v>
      </c>
      <c r="D27" t="s">
        <v>136</v>
      </c>
    </row>
    <row r="28" spans="1:4" x14ac:dyDescent="0.3">
      <c r="A28" t="s">
        <v>134</v>
      </c>
      <c r="B28" s="1" t="s">
        <v>47</v>
      </c>
      <c r="C28" s="48">
        <f>'Spesifikasi Amfibi'!D9/1000</f>
        <v>0.49</v>
      </c>
      <c r="D28" t="s">
        <v>210</v>
      </c>
    </row>
    <row r="30" spans="1:4" x14ac:dyDescent="0.3">
      <c r="A30" s="18" t="s">
        <v>238</v>
      </c>
    </row>
    <row r="32" spans="1:4" x14ac:dyDescent="0.3">
      <c r="A32" t="s">
        <v>142</v>
      </c>
      <c r="B32" s="1" t="s">
        <v>47</v>
      </c>
      <c r="C32" s="49">
        <f>C23*'Spesifikasi Amfibi'!D31</f>
        <v>1748124.6248301943</v>
      </c>
      <c r="D32" t="s">
        <v>143</v>
      </c>
    </row>
    <row r="33" spans="1:22" x14ac:dyDescent="0.3">
      <c r="A33" t="s">
        <v>142</v>
      </c>
      <c r="B33" s="1" t="s">
        <v>47</v>
      </c>
      <c r="C33" s="49">
        <f>C32/1000</f>
        <v>1748.1246248301943</v>
      </c>
      <c r="D33" t="s">
        <v>147</v>
      </c>
    </row>
    <row r="35" spans="1:22" x14ac:dyDescent="0.3">
      <c r="A35" s="18" t="s">
        <v>144</v>
      </c>
    </row>
    <row r="37" spans="1:22" x14ac:dyDescent="0.3">
      <c r="A37" t="s">
        <v>145</v>
      </c>
      <c r="B37" s="1" t="s">
        <v>47</v>
      </c>
      <c r="C37" s="49">
        <f>C32/C39</f>
        <v>1921016.0712419716</v>
      </c>
      <c r="D37" t="s">
        <v>143</v>
      </c>
    </row>
    <row r="38" spans="1:22" x14ac:dyDescent="0.3">
      <c r="A38" t="s">
        <v>145</v>
      </c>
      <c r="B38" s="1" t="s">
        <v>47</v>
      </c>
      <c r="C38" s="49">
        <f>C37/1000</f>
        <v>1921.0160712419715</v>
      </c>
      <c r="D38" t="s">
        <v>147</v>
      </c>
    </row>
    <row r="39" spans="1:22" x14ac:dyDescent="0.3">
      <c r="A39" t="s">
        <v>146</v>
      </c>
      <c r="B39" s="1" t="s">
        <v>47</v>
      </c>
      <c r="C39" s="48">
        <v>0.91</v>
      </c>
      <c r="D39" t="s">
        <v>214</v>
      </c>
    </row>
    <row r="41" spans="1:22" x14ac:dyDescent="0.3">
      <c r="A41" s="18" t="s">
        <v>227</v>
      </c>
      <c r="F41" s="18" t="s">
        <v>228</v>
      </c>
    </row>
    <row r="42" spans="1:22" x14ac:dyDescent="0.3">
      <c r="G42" s="1"/>
      <c r="H42" s="48"/>
    </row>
    <row r="43" spans="1:22" x14ac:dyDescent="0.3">
      <c r="A43" t="s">
        <v>203</v>
      </c>
      <c r="B43" s="1" t="s">
        <v>47</v>
      </c>
      <c r="C43" s="51">
        <f>C44*C45/(C46*C47*C48)</f>
        <v>5.4911015628677644</v>
      </c>
      <c r="F43" t="s">
        <v>220</v>
      </c>
      <c r="G43" s="1" t="s">
        <v>47</v>
      </c>
      <c r="H43" s="51">
        <f>H44*H45/(H46*H47*H48)</f>
        <v>0.20145940627380091</v>
      </c>
    </row>
    <row r="44" spans="1:22" x14ac:dyDescent="0.3">
      <c r="A44" t="s">
        <v>204</v>
      </c>
      <c r="B44" s="1" t="s">
        <v>47</v>
      </c>
      <c r="C44" s="49">
        <f>C19+C15+C3</f>
        <v>270013.02719692333</v>
      </c>
      <c r="F44" t="s">
        <v>204</v>
      </c>
      <c r="G44" s="1"/>
      <c r="H44" s="49">
        <f>C15+C3</f>
        <v>9906.33</v>
      </c>
    </row>
    <row r="45" spans="1:22" x14ac:dyDescent="0.3">
      <c r="A45" t="s">
        <v>205</v>
      </c>
      <c r="B45" s="1" t="s">
        <v>47</v>
      </c>
      <c r="C45" s="48">
        <f>C28</f>
        <v>0.49</v>
      </c>
      <c r="F45" t="s">
        <v>205</v>
      </c>
      <c r="G45" s="1" t="s">
        <v>47</v>
      </c>
      <c r="H45" s="48">
        <f>C45</f>
        <v>0.49</v>
      </c>
    </row>
    <row r="46" spans="1:22" x14ac:dyDescent="0.3">
      <c r="A46" t="s">
        <v>206</v>
      </c>
      <c r="B46" s="1" t="s">
        <v>47</v>
      </c>
      <c r="C46" s="49">
        <f>P50</f>
        <v>26477.68</v>
      </c>
      <c r="F46" t="s">
        <v>206</v>
      </c>
      <c r="G46" s="1" t="s">
        <v>47</v>
      </c>
      <c r="H46" s="49">
        <f>C46</f>
        <v>26477.68</v>
      </c>
      <c r="O46" t="s">
        <v>215</v>
      </c>
      <c r="P46">
        <v>600</v>
      </c>
      <c r="Q46" t="s">
        <v>215</v>
      </c>
      <c r="R46">
        <f>P46*0.10472</f>
        <v>62.831999999999994</v>
      </c>
      <c r="S46" t="s">
        <v>216</v>
      </c>
    </row>
    <row r="47" spans="1:22" x14ac:dyDescent="0.3">
      <c r="A47" t="s">
        <v>207</v>
      </c>
      <c r="B47" s="1" t="s">
        <v>47</v>
      </c>
      <c r="C47" s="48">
        <v>1</v>
      </c>
      <c r="D47" t="s">
        <v>218</v>
      </c>
      <c r="F47" t="s">
        <v>207</v>
      </c>
      <c r="G47" s="1" t="s">
        <v>47</v>
      </c>
      <c r="H47" s="48">
        <f>C47</f>
        <v>1</v>
      </c>
      <c r="I47" t="s">
        <v>218</v>
      </c>
      <c r="O47" t="s">
        <v>150</v>
      </c>
      <c r="P47">
        <v>1000</v>
      </c>
      <c r="Q47" t="s">
        <v>147</v>
      </c>
      <c r="R47">
        <f>P47*1000</f>
        <v>1000000</v>
      </c>
      <c r="S47" t="s">
        <v>143</v>
      </c>
    </row>
    <row r="48" spans="1:22" x14ac:dyDescent="0.3">
      <c r="A48" t="s">
        <v>208</v>
      </c>
      <c r="B48" s="1" t="s">
        <v>47</v>
      </c>
      <c r="C48" s="48">
        <v>0.91</v>
      </c>
      <c r="D48" t="s">
        <v>219</v>
      </c>
      <c r="F48" t="s">
        <v>208</v>
      </c>
      <c r="G48" s="1" t="s">
        <v>47</v>
      </c>
      <c r="H48" s="48">
        <f>C48</f>
        <v>0.91</v>
      </c>
      <c r="I48" t="s">
        <v>219</v>
      </c>
      <c r="O48" t="s">
        <v>239</v>
      </c>
      <c r="P48" s="24">
        <f>P49*0.61</f>
        <v>9390.34</v>
      </c>
      <c r="Q48" t="s">
        <v>136</v>
      </c>
      <c r="T48">
        <f>P48/P49*T49</f>
        <v>366</v>
      </c>
      <c r="U48" t="s">
        <v>215</v>
      </c>
      <c r="V48" s="24">
        <f>P48/P49*V49</f>
        <v>366</v>
      </c>
    </row>
    <row r="49" spans="1:22" x14ac:dyDescent="0.3">
      <c r="O49" t="s">
        <v>132</v>
      </c>
      <c r="P49" s="24">
        <v>15394</v>
      </c>
      <c r="Q49" t="s">
        <v>136</v>
      </c>
      <c r="T49">
        <f>P46</f>
        <v>600</v>
      </c>
      <c r="U49" t="s">
        <v>215</v>
      </c>
      <c r="V49" s="24">
        <f>P46</f>
        <v>600</v>
      </c>
    </row>
    <row r="50" spans="1:22" x14ac:dyDescent="0.3">
      <c r="A50" s="18" t="s">
        <v>222</v>
      </c>
      <c r="F50" s="18" t="s">
        <v>223</v>
      </c>
      <c r="G50" s="1"/>
      <c r="H50" s="48"/>
      <c r="O50" t="s">
        <v>241</v>
      </c>
      <c r="P50" s="24">
        <f>P49*1.72</f>
        <v>26477.68</v>
      </c>
      <c r="Q50" t="s">
        <v>136</v>
      </c>
      <c r="T50">
        <f>P50/P49*T49</f>
        <v>1032</v>
      </c>
      <c r="U50" t="s">
        <v>215</v>
      </c>
      <c r="V50" s="24">
        <f>P50/P49*V49</f>
        <v>1032</v>
      </c>
    </row>
    <row r="51" spans="1:22" x14ac:dyDescent="0.3">
      <c r="G51" s="1"/>
      <c r="H51" s="48"/>
    </row>
    <row r="52" spans="1:22" x14ac:dyDescent="0.3">
      <c r="A52" t="s">
        <v>221</v>
      </c>
      <c r="B52" s="1" t="s">
        <v>47</v>
      </c>
      <c r="C52" s="51">
        <f>(3.14*C53*C54/(30*C55*C56))*(3600/1000)</f>
        <v>7.9114951767024808E-2</v>
      </c>
      <c r="D52" t="s">
        <v>13</v>
      </c>
      <c r="F52" t="s">
        <v>224</v>
      </c>
      <c r="G52" s="1" t="s">
        <v>47</v>
      </c>
      <c r="H52" s="51">
        <f>(3.14*H53*H54/(30*H55*H56))*(3600/1000)</f>
        <v>4.7468971060214882</v>
      </c>
      <c r="I52" t="s">
        <v>13</v>
      </c>
    </row>
    <row r="53" spans="1:22" x14ac:dyDescent="0.3">
      <c r="A53" t="s">
        <v>134</v>
      </c>
      <c r="B53" s="1" t="s">
        <v>47</v>
      </c>
      <c r="C53" s="48">
        <f>C28</f>
        <v>0.49</v>
      </c>
      <c r="F53" t="s">
        <v>134</v>
      </c>
      <c r="G53" s="1" t="s">
        <v>47</v>
      </c>
      <c r="H53" s="48">
        <f>C53</f>
        <v>0.49</v>
      </c>
    </row>
    <row r="54" spans="1:22" x14ac:dyDescent="0.3">
      <c r="A54" t="s">
        <v>211</v>
      </c>
      <c r="B54" s="1" t="s">
        <v>47</v>
      </c>
      <c r="C54" s="49">
        <v>10</v>
      </c>
      <c r="F54" t="s">
        <v>211</v>
      </c>
      <c r="G54" s="1" t="s">
        <v>47</v>
      </c>
      <c r="H54" s="49">
        <v>600</v>
      </c>
      <c r="O54" t="s">
        <v>132</v>
      </c>
      <c r="P54">
        <v>15394</v>
      </c>
    </row>
    <row r="55" spans="1:22" x14ac:dyDescent="0.3">
      <c r="A55" t="s">
        <v>212</v>
      </c>
      <c r="B55" s="1" t="s">
        <v>47</v>
      </c>
      <c r="C55" s="51">
        <f>C43</f>
        <v>5.4911015628677644</v>
      </c>
      <c r="F55" t="s">
        <v>212</v>
      </c>
      <c r="G55" s="1" t="s">
        <v>47</v>
      </c>
      <c r="H55" s="51">
        <f>C55</f>
        <v>5.4911015628677644</v>
      </c>
      <c r="O55" t="s">
        <v>224</v>
      </c>
      <c r="P55" s="47">
        <f>H52</f>
        <v>4.7468971060214882</v>
      </c>
    </row>
    <row r="56" spans="1:22" x14ac:dyDescent="0.3">
      <c r="A56" t="s">
        <v>209</v>
      </c>
      <c r="B56" s="1" t="s">
        <v>47</v>
      </c>
      <c r="C56" s="48">
        <v>4.25</v>
      </c>
      <c r="D56" t="s">
        <v>219</v>
      </c>
      <c r="F56" t="s">
        <v>209</v>
      </c>
      <c r="G56" s="1" t="s">
        <v>47</v>
      </c>
      <c r="H56" s="48">
        <v>4.25</v>
      </c>
      <c r="I56" t="s">
        <v>219</v>
      </c>
      <c r="O56" t="s">
        <v>221</v>
      </c>
      <c r="P56" s="47">
        <f>C60</f>
        <v>2.1564058155899248</v>
      </c>
    </row>
    <row r="57" spans="1:22" x14ac:dyDescent="0.3">
      <c r="O57" t="s">
        <v>211</v>
      </c>
      <c r="P57" s="47">
        <v>60</v>
      </c>
    </row>
    <row r="58" spans="1:22" x14ac:dyDescent="0.3">
      <c r="A58" s="18" t="s">
        <v>225</v>
      </c>
      <c r="F58" s="18" t="s">
        <v>226</v>
      </c>
      <c r="G58" s="1"/>
      <c r="H58" s="48"/>
      <c r="O58" t="s">
        <v>172</v>
      </c>
      <c r="P58" s="47">
        <f>P55-P56</f>
        <v>2.5904912904315633</v>
      </c>
    </row>
    <row r="59" spans="1:22" x14ac:dyDescent="0.3">
      <c r="G59" s="1"/>
      <c r="H59" s="48"/>
    </row>
    <row r="60" spans="1:22" x14ac:dyDescent="0.3">
      <c r="A60" t="s">
        <v>221</v>
      </c>
      <c r="B60" s="1" t="s">
        <v>47</v>
      </c>
      <c r="C60" s="51">
        <f>(3.14*C61*C62/(30*C63*C64))*(3600/1000)</f>
        <v>2.1564058155899248</v>
      </c>
      <c r="D60" t="s">
        <v>13</v>
      </c>
      <c r="F60" t="s">
        <v>224</v>
      </c>
      <c r="G60" s="1" t="s">
        <v>47</v>
      </c>
      <c r="H60" s="51">
        <f>(3.14*H61*H62/(30*H63*H64))*(3600/1000)</f>
        <v>129.38434893539548</v>
      </c>
      <c r="I60" t="s">
        <v>13</v>
      </c>
    </row>
    <row r="61" spans="1:22" x14ac:dyDescent="0.3">
      <c r="A61" t="s">
        <v>134</v>
      </c>
      <c r="B61" s="1" t="s">
        <v>47</v>
      </c>
      <c r="C61" s="48">
        <f>H53</f>
        <v>0.49</v>
      </c>
      <c r="F61" t="s">
        <v>134</v>
      </c>
      <c r="G61" s="1" t="s">
        <v>47</v>
      </c>
      <c r="H61" s="48">
        <f>C61</f>
        <v>0.49</v>
      </c>
    </row>
    <row r="62" spans="1:22" x14ac:dyDescent="0.3">
      <c r="A62" t="s">
        <v>211</v>
      </c>
      <c r="B62" s="1" t="s">
        <v>47</v>
      </c>
      <c r="C62" s="49">
        <v>10</v>
      </c>
      <c r="F62" t="s">
        <v>211</v>
      </c>
      <c r="G62" s="1" t="s">
        <v>47</v>
      </c>
      <c r="H62" s="49">
        <v>600</v>
      </c>
    </row>
    <row r="63" spans="1:22" x14ac:dyDescent="0.3">
      <c r="A63" t="s">
        <v>212</v>
      </c>
      <c r="B63" s="1" t="s">
        <v>47</v>
      </c>
      <c r="C63" s="51">
        <f>H43</f>
        <v>0.20145940627380091</v>
      </c>
      <c r="F63" t="s">
        <v>212</v>
      </c>
      <c r="G63" s="1" t="s">
        <v>47</v>
      </c>
      <c r="H63" s="51">
        <f>H43</f>
        <v>0.20145940627380091</v>
      </c>
    </row>
    <row r="64" spans="1:22" x14ac:dyDescent="0.3">
      <c r="A64" t="s">
        <v>209</v>
      </c>
      <c r="B64" s="1" t="s">
        <v>47</v>
      </c>
      <c r="C64" s="48">
        <v>4.25</v>
      </c>
      <c r="D64" t="s">
        <v>219</v>
      </c>
      <c r="F64" t="s">
        <v>209</v>
      </c>
      <c r="G64" s="1" t="s">
        <v>47</v>
      </c>
      <c r="H64" s="48">
        <v>4.25</v>
      </c>
      <c r="I64" t="s">
        <v>219</v>
      </c>
    </row>
    <row r="66" spans="1:9" x14ac:dyDescent="0.3">
      <c r="A66" s="18" t="s">
        <v>233</v>
      </c>
      <c r="F66" s="18" t="s">
        <v>240</v>
      </c>
    </row>
    <row r="69" spans="1:9" x14ac:dyDescent="0.3">
      <c r="A69" t="s">
        <v>229</v>
      </c>
      <c r="B69" s="1" t="s">
        <v>47</v>
      </c>
      <c r="C69" s="49">
        <f>C70*C71*C72*C74/C73</f>
        <v>1147555.3655869241</v>
      </c>
      <c r="D69" t="s">
        <v>217</v>
      </c>
      <c r="F69" t="s">
        <v>230</v>
      </c>
      <c r="G69" s="1" t="s">
        <v>47</v>
      </c>
      <c r="H69" s="49">
        <f>H70*H71*H72*H74/H73</f>
        <v>406981.84477210685</v>
      </c>
      <c r="I69" t="s">
        <v>217</v>
      </c>
    </row>
    <row r="70" spans="1:9" x14ac:dyDescent="0.3">
      <c r="A70" t="s">
        <v>212</v>
      </c>
      <c r="B70" s="1" t="s">
        <v>47</v>
      </c>
      <c r="C70" s="51">
        <f>C55</f>
        <v>5.4911015628677644</v>
      </c>
      <c r="F70" t="s">
        <v>212</v>
      </c>
      <c r="G70" s="1" t="s">
        <v>47</v>
      </c>
      <c r="H70" s="51">
        <f>H55</f>
        <v>5.4911015628677644</v>
      </c>
    </row>
    <row r="71" spans="1:9" x14ac:dyDescent="0.3">
      <c r="A71" t="s">
        <v>209</v>
      </c>
      <c r="B71" s="1" t="s">
        <v>47</v>
      </c>
      <c r="C71" s="48">
        <f>C56</f>
        <v>4.25</v>
      </c>
      <c r="F71" t="s">
        <v>209</v>
      </c>
      <c r="G71" s="1" t="s">
        <v>47</v>
      </c>
      <c r="H71" s="48">
        <f>H56</f>
        <v>4.25</v>
      </c>
    </row>
    <row r="72" spans="1:9" x14ac:dyDescent="0.3">
      <c r="A72" t="s">
        <v>213</v>
      </c>
      <c r="B72" s="1" t="s">
        <v>47</v>
      </c>
      <c r="C72" s="49">
        <f>P50</f>
        <v>26477.68</v>
      </c>
      <c r="F72" t="s">
        <v>231</v>
      </c>
      <c r="G72" s="1" t="s">
        <v>47</v>
      </c>
      <c r="H72" s="49">
        <f>P48</f>
        <v>9390.34</v>
      </c>
    </row>
    <row r="73" spans="1:9" x14ac:dyDescent="0.3">
      <c r="A73" t="s">
        <v>134</v>
      </c>
      <c r="B73" s="1" t="s">
        <v>47</v>
      </c>
      <c r="C73" s="48">
        <f>C61</f>
        <v>0.49</v>
      </c>
      <c r="F73" t="s">
        <v>134</v>
      </c>
      <c r="G73" s="1" t="s">
        <v>47</v>
      </c>
      <c r="H73" s="48">
        <f>H61</f>
        <v>0.49</v>
      </c>
    </row>
    <row r="74" spans="1:9" x14ac:dyDescent="0.3">
      <c r="A74" t="s">
        <v>146</v>
      </c>
      <c r="B74" s="1" t="s">
        <v>47</v>
      </c>
      <c r="C74" s="48">
        <f>C39</f>
        <v>0.91</v>
      </c>
      <c r="F74" t="s">
        <v>146</v>
      </c>
      <c r="G74" s="1" t="s">
        <v>47</v>
      </c>
      <c r="H74" s="48">
        <f>C39</f>
        <v>0.91</v>
      </c>
    </row>
    <row r="76" spans="1:9" x14ac:dyDescent="0.3">
      <c r="A76" s="18" t="s">
        <v>234</v>
      </c>
      <c r="F76" s="18" t="s">
        <v>232</v>
      </c>
    </row>
    <row r="79" spans="1:9" x14ac:dyDescent="0.3">
      <c r="A79" t="s">
        <v>235</v>
      </c>
      <c r="B79" s="1" t="s">
        <v>47</v>
      </c>
      <c r="C79" s="49">
        <f>C80*C81*C82*C84/C83</f>
        <v>42101.902500000011</v>
      </c>
      <c r="D79" t="s">
        <v>217</v>
      </c>
      <c r="F79" t="s">
        <v>236</v>
      </c>
      <c r="G79" s="1" t="s">
        <v>47</v>
      </c>
      <c r="H79" s="49">
        <f>H80*H81*H82*H84/H83</f>
        <v>14931.488677325584</v>
      </c>
      <c r="I79" t="s">
        <v>217</v>
      </c>
    </row>
    <row r="80" spans="1:9" x14ac:dyDescent="0.3">
      <c r="A80" t="s">
        <v>212</v>
      </c>
      <c r="B80" s="1" t="s">
        <v>47</v>
      </c>
      <c r="C80" s="51">
        <f>C63</f>
        <v>0.20145940627380091</v>
      </c>
      <c r="F80" t="s">
        <v>212</v>
      </c>
      <c r="G80" s="1" t="s">
        <v>47</v>
      </c>
      <c r="H80" s="51">
        <f>H63</f>
        <v>0.20145940627380091</v>
      </c>
    </row>
    <row r="81" spans="1:8" x14ac:dyDescent="0.3">
      <c r="A81" t="s">
        <v>209</v>
      </c>
      <c r="B81" s="1" t="s">
        <v>47</v>
      </c>
      <c r="C81" s="48">
        <f>C71</f>
        <v>4.25</v>
      </c>
      <c r="F81" t="s">
        <v>209</v>
      </c>
      <c r="G81" s="1" t="s">
        <v>47</v>
      </c>
      <c r="H81" s="48">
        <f>H71</f>
        <v>4.25</v>
      </c>
    </row>
    <row r="82" spans="1:8" x14ac:dyDescent="0.3">
      <c r="A82" t="s">
        <v>213</v>
      </c>
      <c r="B82" s="1" t="s">
        <v>47</v>
      </c>
      <c r="C82" s="49">
        <f>C72</f>
        <v>26477.68</v>
      </c>
      <c r="F82" t="s">
        <v>213</v>
      </c>
      <c r="G82" s="1" t="s">
        <v>47</v>
      </c>
      <c r="H82" s="49">
        <f>H72</f>
        <v>9390.34</v>
      </c>
    </row>
    <row r="83" spans="1:8" x14ac:dyDescent="0.3">
      <c r="A83" t="s">
        <v>134</v>
      </c>
      <c r="B83" s="1" t="s">
        <v>47</v>
      </c>
      <c r="C83" s="48">
        <f>C73</f>
        <v>0.49</v>
      </c>
      <c r="F83" t="s">
        <v>134</v>
      </c>
      <c r="G83" s="1" t="s">
        <v>47</v>
      </c>
      <c r="H83" s="48">
        <f>H73</f>
        <v>0.49</v>
      </c>
    </row>
    <row r="84" spans="1:8" x14ac:dyDescent="0.3">
      <c r="A84" t="s">
        <v>146</v>
      </c>
      <c r="B84" s="1" t="s">
        <v>47</v>
      </c>
      <c r="C84" s="48">
        <f>C39</f>
        <v>0.91</v>
      </c>
      <c r="F84" t="s">
        <v>146</v>
      </c>
      <c r="G84" s="1" t="s">
        <v>47</v>
      </c>
      <c r="H84" s="48">
        <f>H74</f>
        <v>0.91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0F612-FF33-471F-836E-245311E4C854}">
  <dimension ref="A1:B13"/>
  <sheetViews>
    <sheetView workbookViewId="0">
      <selection activeCell="D20" sqref="D20"/>
    </sheetView>
  </sheetViews>
  <sheetFormatPr defaultRowHeight="14.4" x14ac:dyDescent="0.3"/>
  <cols>
    <col min="2" max="2" width="8.88671875" style="20"/>
  </cols>
  <sheetData>
    <row r="1" spans="1:2" x14ac:dyDescent="0.3">
      <c r="A1" t="s">
        <v>186</v>
      </c>
      <c r="B1" s="20" t="s">
        <v>187</v>
      </c>
    </row>
    <row r="2" spans="1:2" x14ac:dyDescent="0.3">
      <c r="A2" t="s">
        <v>188</v>
      </c>
      <c r="B2" s="20" t="s">
        <v>189</v>
      </c>
    </row>
    <row r="3" spans="1:2" x14ac:dyDescent="0.3">
      <c r="A3" t="s">
        <v>91</v>
      </c>
      <c r="B3" s="20" t="s">
        <v>190</v>
      </c>
    </row>
    <row r="4" spans="1:2" x14ac:dyDescent="0.3">
      <c r="A4" t="s">
        <v>188</v>
      </c>
      <c r="B4" s="20" t="s">
        <v>191</v>
      </c>
    </row>
    <row r="5" spans="1:2" x14ac:dyDescent="0.3">
      <c r="A5" t="s">
        <v>192</v>
      </c>
      <c r="B5" s="20" t="s">
        <v>193</v>
      </c>
    </row>
    <row r="6" spans="1:2" x14ac:dyDescent="0.3">
      <c r="A6" t="s">
        <v>188</v>
      </c>
      <c r="B6" s="20" t="s">
        <v>194</v>
      </c>
    </row>
    <row r="7" spans="1:2" x14ac:dyDescent="0.3">
      <c r="A7" t="s">
        <v>91</v>
      </c>
      <c r="B7" s="20" t="s">
        <v>195</v>
      </c>
    </row>
    <row r="8" spans="1:2" x14ac:dyDescent="0.3">
      <c r="A8" t="s">
        <v>188</v>
      </c>
      <c r="B8" s="20" t="s">
        <v>196</v>
      </c>
    </row>
    <row r="9" spans="1:2" x14ac:dyDescent="0.3">
      <c r="A9" t="s">
        <v>186</v>
      </c>
      <c r="B9" s="20" t="s">
        <v>197</v>
      </c>
    </row>
    <row r="11" spans="1:2" x14ac:dyDescent="0.3">
      <c r="A11" t="s">
        <v>198</v>
      </c>
      <c r="B11" s="45">
        <v>30000</v>
      </c>
    </row>
    <row r="12" spans="1:2" x14ac:dyDescent="0.3">
      <c r="A12" t="s">
        <v>199</v>
      </c>
      <c r="B12" s="45">
        <v>15000</v>
      </c>
    </row>
    <row r="13" spans="1:2" x14ac:dyDescent="0.3">
      <c r="A13" t="s">
        <v>200</v>
      </c>
      <c r="B13" s="45">
        <v>10000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4D027-1434-4BB0-930B-E024AD5994C8}">
  <dimension ref="A1:E112"/>
  <sheetViews>
    <sheetView zoomScale="205" zoomScaleNormal="205" workbookViewId="0">
      <selection activeCell="C33" sqref="C33"/>
    </sheetView>
  </sheetViews>
  <sheetFormatPr defaultRowHeight="14.4" x14ac:dyDescent="0.3"/>
  <cols>
    <col min="1" max="1" width="6.5546875" customWidth="1"/>
    <col min="2" max="2" width="4.5546875" bestFit="1" customWidth="1"/>
    <col min="8" max="8" width="2" bestFit="1" customWidth="1"/>
  </cols>
  <sheetData>
    <row r="1" spans="1:5" x14ac:dyDescent="0.3">
      <c r="A1" s="76" t="s">
        <v>45</v>
      </c>
      <c r="B1" s="76"/>
      <c r="C1" s="76"/>
      <c r="D1" s="76"/>
      <c r="E1" s="76"/>
    </row>
    <row r="3" spans="1:5" ht="15" x14ac:dyDescent="0.3">
      <c r="A3" s="14" t="s">
        <v>46</v>
      </c>
      <c r="B3" s="14" t="s">
        <v>47</v>
      </c>
      <c r="C3" s="15">
        <f>C5*C6^2*C7*('Spesifikasi Amfibi'!D20+0.7)</f>
        <v>55692.334295039844</v>
      </c>
      <c r="D3" s="16" t="s">
        <v>52</v>
      </c>
      <c r="E3" s="16"/>
    </row>
    <row r="4" spans="1:5" x14ac:dyDescent="0.3">
      <c r="A4" s="14" t="s">
        <v>48</v>
      </c>
      <c r="B4" s="14" t="s">
        <v>47</v>
      </c>
      <c r="C4" s="17">
        <f>0.4*'Spesifikasi Amfibi'!D2/1000+36</f>
        <v>42.034399999999998</v>
      </c>
      <c r="D4" s="16" t="s">
        <v>50</v>
      </c>
      <c r="E4" s="16"/>
    </row>
    <row r="5" spans="1:5" x14ac:dyDescent="0.3">
      <c r="A5" s="14"/>
      <c r="B5" s="14" t="s">
        <v>47</v>
      </c>
      <c r="C5" s="17">
        <f>IF(C4&lt;44,C4,44)</f>
        <v>42.034399999999998</v>
      </c>
      <c r="D5" s="16"/>
      <c r="E5" s="16"/>
    </row>
    <row r="6" spans="1:5" x14ac:dyDescent="0.3">
      <c r="A6" s="14" t="s">
        <v>32</v>
      </c>
      <c r="B6" s="14" t="s">
        <v>47</v>
      </c>
      <c r="C6" s="17">
        <f>'Spesifikasi Amfibi'!D2/1000</f>
        <v>15.086</v>
      </c>
      <c r="D6" s="16"/>
      <c r="E6" s="16"/>
    </row>
    <row r="7" spans="1:5" x14ac:dyDescent="0.3">
      <c r="A7" s="14" t="s">
        <v>49</v>
      </c>
      <c r="B7" s="14" t="s">
        <v>47</v>
      </c>
      <c r="C7" s="17">
        <f>'Spesifikasi Amfibi'!D3/1000</f>
        <v>3.8</v>
      </c>
      <c r="D7" s="16"/>
      <c r="E7" s="16"/>
    </row>
    <row r="9" spans="1:5" x14ac:dyDescent="0.3">
      <c r="A9" s="76" t="s">
        <v>53</v>
      </c>
      <c r="B9" s="76"/>
      <c r="C9" s="76"/>
      <c r="D9" s="76"/>
      <c r="E9" s="76"/>
    </row>
    <row r="11" spans="1:5" ht="16.2" x14ac:dyDescent="0.3">
      <c r="A11" s="19" t="s">
        <v>54</v>
      </c>
      <c r="B11" s="19" t="s">
        <v>47</v>
      </c>
      <c r="C11" s="1">
        <f>4.2*C3*C6</f>
        <v>3528733.1317348788</v>
      </c>
      <c r="D11" t="s">
        <v>55</v>
      </c>
    </row>
    <row r="13" spans="1:5" x14ac:dyDescent="0.3">
      <c r="A13" s="18" t="s">
        <v>56</v>
      </c>
    </row>
    <row r="16" spans="1:5" x14ac:dyDescent="0.3">
      <c r="A16" t="s">
        <v>57</v>
      </c>
      <c r="B16" t="s">
        <v>47</v>
      </c>
      <c r="C16" s="12">
        <f>530+14.6*C6</f>
        <v>750.25559999999996</v>
      </c>
      <c r="D16" t="s">
        <v>11</v>
      </c>
    </row>
    <row r="17" spans="1:4" x14ac:dyDescent="0.3">
      <c r="A17" t="s">
        <v>58</v>
      </c>
      <c r="B17" t="s">
        <v>47</v>
      </c>
      <c r="C17" s="12">
        <f>9+0.4*C6</f>
        <v>15.034400000000002</v>
      </c>
      <c r="D17" t="s">
        <v>11</v>
      </c>
    </row>
    <row r="19" spans="1:4" x14ac:dyDescent="0.3">
      <c r="A19" s="18" t="s">
        <v>60</v>
      </c>
    </row>
    <row r="21" spans="1:4" x14ac:dyDescent="0.3">
      <c r="A21" t="s">
        <v>59</v>
      </c>
      <c r="B21" t="s">
        <v>47</v>
      </c>
      <c r="C21" s="12">
        <f>15*'Spesifikasi Amfibi'!D13/1000*SQRT('Spesifikasi Amfibi'!D5/1000+0.026*C6)</f>
        <v>9.3140096091855096</v>
      </c>
      <c r="D21" t="s">
        <v>11</v>
      </c>
    </row>
    <row r="23" spans="1:4" x14ac:dyDescent="0.3">
      <c r="A23" s="18" t="s">
        <v>61</v>
      </c>
    </row>
    <row r="25" spans="1:4" x14ac:dyDescent="0.3">
      <c r="A25" t="s">
        <v>62</v>
      </c>
      <c r="B25" t="s">
        <v>47</v>
      </c>
      <c r="C25" s="12">
        <f>15.8*'Spesifikasi Amfibi'!D13/1000*SQRT('Spesifikasi Amfibi'!D5/1000+0.026*C6)</f>
        <v>9.8107567883420703</v>
      </c>
      <c r="D25" t="s">
        <v>11</v>
      </c>
    </row>
    <row r="27" spans="1:4" x14ac:dyDescent="0.3">
      <c r="A27" s="18" t="s">
        <v>63</v>
      </c>
    </row>
    <row r="29" spans="1:4" x14ac:dyDescent="0.3">
      <c r="A29" t="s">
        <v>64</v>
      </c>
      <c r="B29" t="s">
        <v>47</v>
      </c>
      <c r="C29" s="12">
        <f>0.85*C21</f>
        <v>7.9169081678076827</v>
      </c>
      <c r="D29" s="12" t="s">
        <v>11</v>
      </c>
    </row>
    <row r="31" spans="1:4" x14ac:dyDescent="0.3">
      <c r="A31" s="18" t="s">
        <v>65</v>
      </c>
    </row>
    <row r="33" spans="1:4" x14ac:dyDescent="0.3">
      <c r="A33" t="s">
        <v>66</v>
      </c>
      <c r="B33" t="s">
        <v>47</v>
      </c>
      <c r="C33" s="12">
        <f>6.81*'Spesifikasi Amfibi'!D13/1000*SQRT(C6)</f>
        <v>13.225258453051115</v>
      </c>
      <c r="D33" t="s">
        <v>11</v>
      </c>
    </row>
    <row r="35" spans="1:4" x14ac:dyDescent="0.3">
      <c r="A35" s="18" t="s">
        <v>90</v>
      </c>
      <c r="B35" s="1"/>
      <c r="C35" s="1"/>
    </row>
    <row r="36" spans="1:4" x14ac:dyDescent="0.3">
      <c r="B36" s="1"/>
      <c r="C36" s="1"/>
    </row>
    <row r="37" spans="1:4" x14ac:dyDescent="0.3">
      <c r="A37" t="s">
        <v>64</v>
      </c>
      <c r="B37" s="1" t="s">
        <v>47</v>
      </c>
      <c r="C37" s="12">
        <f>11.5*'Spesifikasi Amfibi'!D13/1000*SQRT('Spesifikasi Amfibi'!D5/1000)</f>
        <v>6.1661880444890746</v>
      </c>
      <c r="D37" t="s">
        <v>11</v>
      </c>
    </row>
    <row r="38" spans="1:4" x14ac:dyDescent="0.3">
      <c r="B38" s="1"/>
      <c r="C38" s="12"/>
    </row>
    <row r="39" spans="1:4" x14ac:dyDescent="0.3">
      <c r="A39" s="18" t="s">
        <v>67</v>
      </c>
    </row>
    <row r="42" spans="1:4" x14ac:dyDescent="0.3">
      <c r="A42" s="20" t="s">
        <v>64</v>
      </c>
      <c r="B42" s="1" t="s">
        <v>47</v>
      </c>
      <c r="C42" s="12">
        <f>C21</f>
        <v>9.3140096091855096</v>
      </c>
      <c r="D42" s="1" t="s">
        <v>11</v>
      </c>
    </row>
    <row r="44" spans="1:4" x14ac:dyDescent="0.3">
      <c r="A44" s="18" t="s">
        <v>68</v>
      </c>
    </row>
    <row r="45" spans="1:4" x14ac:dyDescent="0.3">
      <c r="A45" s="18"/>
    </row>
    <row r="46" spans="1:4" x14ac:dyDescent="0.3">
      <c r="A46" s="18"/>
    </row>
    <row r="47" spans="1:4" x14ac:dyDescent="0.3">
      <c r="A47" t="s">
        <v>69</v>
      </c>
      <c r="B47" t="s">
        <v>47</v>
      </c>
      <c r="C47" s="12">
        <f>5.8*'Spesifikasi Amfibi'!D13/1000*SQRT(4.6)</f>
        <v>6.2198070709628928</v>
      </c>
      <c r="D47" t="s">
        <v>11</v>
      </c>
    </row>
    <row r="49" spans="1:4" x14ac:dyDescent="0.3">
      <c r="A49" s="18" t="s">
        <v>93</v>
      </c>
    </row>
    <row r="51" spans="1:4" x14ac:dyDescent="0.3">
      <c r="A51" t="s">
        <v>81</v>
      </c>
      <c r="B51" t="s">
        <v>47</v>
      </c>
      <c r="C51" s="1">
        <f>12*1.25*'Spesifikasi Amfibi'!D13/1000*'Spesifikasi Amfibi'!D15/1000</f>
        <v>13.125</v>
      </c>
      <c r="D51" t="s">
        <v>11</v>
      </c>
    </row>
    <row r="53" spans="1:4" x14ac:dyDescent="0.3">
      <c r="A53" s="76" t="s">
        <v>71</v>
      </c>
      <c r="B53" s="76"/>
      <c r="C53" s="76"/>
      <c r="D53" s="76"/>
    </row>
    <row r="54" spans="1:4" x14ac:dyDescent="0.3">
      <c r="B54" s="1"/>
      <c r="C54" s="1"/>
    </row>
    <row r="55" spans="1:4" ht="16.2" x14ac:dyDescent="0.3">
      <c r="A55" t="s">
        <v>46</v>
      </c>
      <c r="B55" s="1" t="s">
        <v>47</v>
      </c>
      <c r="C55" s="1">
        <f>32*'Spesifikasi Amfibi'!D13/1000*'Spesifikasi Amfibi'!D15/1000*'Spesifikasi Amfibi'!D16/1000</f>
        <v>58.8</v>
      </c>
      <c r="D55" t="s">
        <v>51</v>
      </c>
    </row>
    <row r="56" spans="1:4" x14ac:dyDescent="0.3">
      <c r="B56" s="1"/>
      <c r="C56" s="1"/>
    </row>
    <row r="57" spans="1:4" x14ac:dyDescent="0.3">
      <c r="A57" s="18" t="s">
        <v>72</v>
      </c>
      <c r="B57" s="1"/>
      <c r="C57" s="1"/>
    </row>
    <row r="58" spans="1:4" x14ac:dyDescent="0.3">
      <c r="B58" s="1"/>
      <c r="C58" s="1"/>
    </row>
    <row r="59" spans="1:4" ht="16.2" x14ac:dyDescent="0.3">
      <c r="A59" t="s">
        <v>46</v>
      </c>
      <c r="B59" s="1" t="s">
        <v>47</v>
      </c>
      <c r="C59" s="13">
        <f>37.5*'Spesifikasi Amfibi'!D13/1000*'Spesifikasi Amfibi'!D15/1000*'Spesifikasi Amfibi'!D16/1000</f>
        <v>68.90625</v>
      </c>
      <c r="D59" s="20" t="s">
        <v>51</v>
      </c>
    </row>
    <row r="60" spans="1:4" x14ac:dyDescent="0.3">
      <c r="B60" s="1"/>
      <c r="C60" s="1"/>
    </row>
    <row r="61" spans="1:4" x14ac:dyDescent="0.3">
      <c r="A61" s="18" t="s">
        <v>73</v>
      </c>
      <c r="B61" s="1"/>
      <c r="C61" s="1"/>
    </row>
    <row r="62" spans="1:4" x14ac:dyDescent="0.3">
      <c r="B62" s="1"/>
      <c r="C62" s="1"/>
    </row>
    <row r="63" spans="1:4" ht="16.2" x14ac:dyDescent="0.3">
      <c r="A63" t="s">
        <v>46</v>
      </c>
      <c r="B63" s="1" t="s">
        <v>47</v>
      </c>
      <c r="C63" s="13">
        <f>49*'Spesifikasi Amfibi'!D13/1000*'Spesifikasi Amfibi'!D15/1000*'Spesifikasi Amfibi'!D16/1000</f>
        <v>90.037499999999994</v>
      </c>
      <c r="D63" s="20" t="s">
        <v>51</v>
      </c>
    </row>
    <row r="64" spans="1:4" x14ac:dyDescent="0.3">
      <c r="B64" s="1"/>
      <c r="C64" s="1"/>
    </row>
    <row r="65" spans="1:4" x14ac:dyDescent="0.3">
      <c r="A65" s="18" t="s">
        <v>75</v>
      </c>
      <c r="B65" s="1"/>
      <c r="C65" s="1"/>
    </row>
    <row r="66" spans="1:4" x14ac:dyDescent="0.3">
      <c r="B66" s="1"/>
      <c r="C66" s="1"/>
    </row>
    <row r="67" spans="1:4" x14ac:dyDescent="0.3">
      <c r="A67" t="s">
        <v>64</v>
      </c>
      <c r="B67" s="1" t="s">
        <v>47</v>
      </c>
      <c r="C67" s="12">
        <f>0.4*C6+5</f>
        <v>11.034400000000002</v>
      </c>
      <c r="D67" t="s">
        <v>11</v>
      </c>
    </row>
    <row r="68" spans="1:4" x14ac:dyDescent="0.3">
      <c r="B68" s="1"/>
      <c r="C68" s="1"/>
    </row>
    <row r="69" spans="1:4" ht="16.2" x14ac:dyDescent="0.3">
      <c r="A69" t="s">
        <v>76</v>
      </c>
      <c r="B69" s="1" t="s">
        <v>47</v>
      </c>
      <c r="C69" s="13">
        <f>(0.4*Construction!C6+5)*(4*Construction!C6+30)</f>
        <v>996.89183360000004</v>
      </c>
      <c r="D69" t="s">
        <v>77</v>
      </c>
    </row>
    <row r="70" spans="1:4" x14ac:dyDescent="0.3">
      <c r="B70" s="1"/>
      <c r="C70" s="13"/>
    </row>
    <row r="71" spans="1:4" x14ac:dyDescent="0.3">
      <c r="A71" t="s">
        <v>78</v>
      </c>
      <c r="B71" s="1" t="s">
        <v>47</v>
      </c>
      <c r="C71" s="12">
        <f>1.25*C67</f>
        <v>13.793000000000003</v>
      </c>
      <c r="D71" t="s">
        <v>11</v>
      </c>
    </row>
    <row r="72" spans="1:4" ht="16.2" x14ac:dyDescent="0.3">
      <c r="A72" t="s">
        <v>79</v>
      </c>
      <c r="B72" s="1" t="s">
        <v>47</v>
      </c>
      <c r="C72" s="13">
        <f>1.25*C69</f>
        <v>1246.1147920000001</v>
      </c>
      <c r="D72" t="s">
        <v>77</v>
      </c>
    </row>
    <row r="73" spans="1:4" x14ac:dyDescent="0.3">
      <c r="B73" s="1"/>
      <c r="C73" s="1"/>
    </row>
    <row r="74" spans="1:4" x14ac:dyDescent="0.3">
      <c r="A74" s="18" t="s">
        <v>80</v>
      </c>
      <c r="B74" s="1"/>
      <c r="C74" s="1"/>
    </row>
    <row r="75" spans="1:4" x14ac:dyDescent="0.3">
      <c r="B75" s="1"/>
      <c r="C75" s="1"/>
    </row>
    <row r="76" spans="1:4" x14ac:dyDescent="0.3">
      <c r="A76" t="s">
        <v>83</v>
      </c>
      <c r="B76" s="1" t="s">
        <v>47</v>
      </c>
      <c r="C76" s="12">
        <f>0.3*Construction!C6+3.5</f>
        <v>8.0258000000000003</v>
      </c>
      <c r="D76" t="s">
        <v>11</v>
      </c>
    </row>
    <row r="77" spans="1:4" x14ac:dyDescent="0.3">
      <c r="A77" t="s">
        <v>82</v>
      </c>
      <c r="B77" s="1" t="s">
        <v>47</v>
      </c>
      <c r="C77" s="12">
        <f>0.8*C76</f>
        <v>6.4206400000000006</v>
      </c>
      <c r="D77" t="s">
        <v>11</v>
      </c>
    </row>
    <row r="78" spans="1:4" x14ac:dyDescent="0.3">
      <c r="B78" s="1"/>
      <c r="C78" s="1"/>
    </row>
    <row r="79" spans="1:4" x14ac:dyDescent="0.3">
      <c r="B79" s="1"/>
      <c r="C79" s="1"/>
    </row>
    <row r="80" spans="1:4" x14ac:dyDescent="0.3">
      <c r="A80" t="s">
        <v>84</v>
      </c>
      <c r="B80" s="1" t="s">
        <v>47</v>
      </c>
      <c r="C80" s="12">
        <f>3.2*Construction!C6+24</f>
        <v>72.275200000000012</v>
      </c>
      <c r="D80" t="s">
        <v>11</v>
      </c>
    </row>
    <row r="81" spans="1:4" x14ac:dyDescent="0.3">
      <c r="A81" t="s">
        <v>85</v>
      </c>
      <c r="B81" s="1" t="s">
        <v>47</v>
      </c>
      <c r="C81" s="12">
        <f>0.8*C80</f>
        <v>57.820160000000016</v>
      </c>
      <c r="D81" t="s">
        <v>11</v>
      </c>
    </row>
    <row r="82" spans="1:4" x14ac:dyDescent="0.3">
      <c r="B82" s="1"/>
      <c r="C82" s="1"/>
    </row>
    <row r="83" spans="1:4" x14ac:dyDescent="0.3">
      <c r="A83" s="18" t="s">
        <v>86</v>
      </c>
      <c r="B83" s="1"/>
      <c r="C83" s="1"/>
    </row>
    <row r="84" spans="1:4" x14ac:dyDescent="0.3">
      <c r="B84" s="1"/>
      <c r="C84" s="1"/>
    </row>
    <row r="85" spans="1:4" x14ac:dyDescent="0.3">
      <c r="B85" s="1"/>
      <c r="C85" s="1"/>
    </row>
    <row r="86" spans="1:4" x14ac:dyDescent="0.3">
      <c r="A86" t="s">
        <v>34</v>
      </c>
      <c r="B86" s="1" t="s">
        <v>47</v>
      </c>
      <c r="C86" s="12">
        <f>62.5*Construction!C7</f>
        <v>237.5</v>
      </c>
      <c r="D86" t="s">
        <v>11</v>
      </c>
    </row>
    <row r="87" spans="1:4" x14ac:dyDescent="0.3">
      <c r="A87" t="s">
        <v>64</v>
      </c>
      <c r="B87" s="1" t="s">
        <v>47</v>
      </c>
      <c r="C87" s="12">
        <f>0.4*Construction!C6</f>
        <v>6.0344000000000007</v>
      </c>
      <c r="D87" t="s">
        <v>11</v>
      </c>
    </row>
    <row r="88" spans="1:4" x14ac:dyDescent="0.3">
      <c r="B88" s="1"/>
      <c r="C88" s="1"/>
    </row>
    <row r="89" spans="1:4" x14ac:dyDescent="0.3">
      <c r="A89" s="18" t="s">
        <v>87</v>
      </c>
      <c r="B89" s="1"/>
      <c r="C89" s="1"/>
    </row>
    <row r="90" spans="1:4" x14ac:dyDescent="0.3">
      <c r="B90" s="1"/>
      <c r="C90" s="1"/>
    </row>
    <row r="91" spans="1:4" ht="16.2" x14ac:dyDescent="0.3">
      <c r="A91" t="s">
        <v>46</v>
      </c>
      <c r="B91" s="1" t="s">
        <v>47</v>
      </c>
      <c r="C91" s="13">
        <f>15.4*'Spesifikasi Amfibi'!D13/1000*'Spesifikasi Amfibi'!D4/1000*Construction!C7^2</f>
        <v>389.15799999999996</v>
      </c>
      <c r="D91" t="s">
        <v>51</v>
      </c>
    </row>
    <row r="92" spans="1:4" x14ac:dyDescent="0.3">
      <c r="B92" s="1"/>
      <c r="C92" s="1"/>
    </row>
    <row r="93" spans="1:4" x14ac:dyDescent="0.3">
      <c r="A93" s="18" t="s">
        <v>88</v>
      </c>
      <c r="B93" s="1"/>
      <c r="C93" s="1"/>
    </row>
    <row r="94" spans="1:4" x14ac:dyDescent="0.3">
      <c r="B94" s="1"/>
      <c r="C94" s="1"/>
    </row>
    <row r="95" spans="1:4" ht="16.2" x14ac:dyDescent="0.3">
      <c r="A95" t="s">
        <v>46</v>
      </c>
      <c r="B95" s="1" t="s">
        <v>47</v>
      </c>
      <c r="C95" s="13">
        <f>55.6*'Spesifikasi Amfibi'!D13/1000*'Spesifikasi Amfibi'!D15/1000*('Spesifikasi Amfibi'!D14/1000)^2</f>
        <v>304.0625</v>
      </c>
      <c r="D95" t="s">
        <v>51</v>
      </c>
    </row>
    <row r="96" spans="1:4" x14ac:dyDescent="0.3">
      <c r="B96" s="1"/>
      <c r="C96" s="1"/>
    </row>
    <row r="97" spans="1:4" x14ac:dyDescent="0.3">
      <c r="A97" s="18" t="s">
        <v>91</v>
      </c>
      <c r="B97" s="1"/>
      <c r="C97" s="1"/>
    </row>
    <row r="98" spans="1:4" x14ac:dyDescent="0.3">
      <c r="B98" s="1"/>
      <c r="C98" s="1"/>
    </row>
    <row r="99" spans="1:4" ht="16.2" x14ac:dyDescent="0.3">
      <c r="A99" t="s">
        <v>46</v>
      </c>
      <c r="B99" s="1" t="s">
        <v>47</v>
      </c>
      <c r="C99" s="13">
        <f>3.4*'Spesifikasi Amfibi'!D14/1000*(0.32*Construction!C6+4.6)*(0.25*'Spesifikasi Amfibi'!D3/1000)^2</f>
        <v>72.320862799999986</v>
      </c>
      <c r="D99" t="s">
        <v>51</v>
      </c>
    </row>
    <row r="100" spans="1:4" x14ac:dyDescent="0.3">
      <c r="B100" s="1"/>
      <c r="C100" s="1"/>
    </row>
    <row r="101" spans="1:4" x14ac:dyDescent="0.3">
      <c r="A101" s="18" t="s">
        <v>92</v>
      </c>
      <c r="B101" s="1"/>
      <c r="C101" s="1"/>
    </row>
    <row r="102" spans="1:4" x14ac:dyDescent="0.3">
      <c r="B102" s="1"/>
      <c r="C102" s="1"/>
    </row>
    <row r="103" spans="1:4" ht="16.2" x14ac:dyDescent="0.3">
      <c r="A103" t="s">
        <v>46</v>
      </c>
      <c r="B103" s="1" t="s">
        <v>47</v>
      </c>
      <c r="C103" s="13">
        <f>4.2*'Spesifikasi Amfibi'!D14/1000*(0.13*Construction!C6+4.6)*(0.25*'Spesifikasi Amfibi'!D3/1000)^2</f>
        <v>62.175381975000001</v>
      </c>
      <c r="D103" t="s">
        <v>51</v>
      </c>
    </row>
    <row r="104" spans="1:4" x14ac:dyDescent="0.3">
      <c r="B104" s="1"/>
      <c r="C104" s="1"/>
    </row>
    <row r="105" spans="1:4" x14ac:dyDescent="0.3">
      <c r="A105" s="18" t="s">
        <v>94</v>
      </c>
      <c r="B105" s="1"/>
      <c r="C105" s="1"/>
    </row>
    <row r="106" spans="1:4" x14ac:dyDescent="0.3">
      <c r="B106" s="1"/>
      <c r="C106" s="1"/>
    </row>
    <row r="107" spans="1:4" ht="16.2" x14ac:dyDescent="0.3">
      <c r="A107" t="s">
        <v>46</v>
      </c>
      <c r="B107" s="1" t="s">
        <v>47</v>
      </c>
      <c r="C107" s="1">
        <f>20*'Spesifikasi Amfibi'!D13/1000*('Spesifikasi Amfibi'!D15/1000+1.2)*1.25*('Spesifikasi Amfibi'!D15/1000)^2</f>
        <v>112.9296875</v>
      </c>
      <c r="D107" t="s">
        <v>51</v>
      </c>
    </row>
    <row r="108" spans="1:4" x14ac:dyDescent="0.3">
      <c r="B108" s="1"/>
      <c r="C108" s="1"/>
    </row>
    <row r="109" spans="1:4" x14ac:dyDescent="0.3">
      <c r="A109" s="18" t="s">
        <v>95</v>
      </c>
      <c r="B109" s="1"/>
      <c r="C109" s="1"/>
    </row>
    <row r="110" spans="1:4" x14ac:dyDescent="0.3">
      <c r="B110" s="1"/>
      <c r="C110" s="1"/>
    </row>
    <row r="111" spans="1:4" ht="16.2" x14ac:dyDescent="0.3">
      <c r="A111" t="s">
        <v>46</v>
      </c>
      <c r="B111" s="1" t="s">
        <v>47</v>
      </c>
      <c r="C111" s="1">
        <f>20*'Spesifikasi Amfibi'!D14/1000*('Spesifikasi Amfibi'!D15/1000+1.2)*1.25*('Spesifikasi Amfibi'!D15/1000)^2</f>
        <v>564.6484375</v>
      </c>
      <c r="D111" t="s">
        <v>51</v>
      </c>
    </row>
    <row r="112" spans="1:4" x14ac:dyDescent="0.3">
      <c r="B112" s="1"/>
      <c r="C112" s="1"/>
    </row>
  </sheetData>
  <mergeCells count="3">
    <mergeCell ref="A1:E1"/>
    <mergeCell ref="A9:E9"/>
    <mergeCell ref="A53:D53"/>
  </mergeCells>
  <pageMargins left="0.7" right="0.7" top="0.75" bottom="0.75" header="0.3" footer="0.3"/>
  <ignoredErrors>
    <ignoredError sqref="C69" evalError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Spesifikasi Amfibi</vt:lpstr>
      <vt:lpstr>Teknis Air</vt:lpstr>
      <vt:lpstr>Teknis Darat</vt:lpstr>
      <vt:lpstr>Maxsurf Motion</vt:lpstr>
      <vt:lpstr>Construction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Ardan Nagra</dc:creator>
  <cp:lastModifiedBy>Ardan Nagra</cp:lastModifiedBy>
  <dcterms:created xsi:type="dcterms:W3CDTF">2022-10-21T13:44:19Z</dcterms:created>
  <dcterms:modified xsi:type="dcterms:W3CDTF">2022-12-06T04:16:56Z</dcterms:modified>
</cp:coreProperties>
</file>