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0730" windowHeight="11160" firstSheet="1" activeTab="6"/>
  </bookViews>
  <sheets>
    <sheet name="Oven&amp;Furnace" sheetId="1" r:id="rId1"/>
    <sheet name="Pengenceran" sheetId="2" r:id="rId2"/>
    <sheet name="Kadar Air &amp; Kadar Abu" sheetId="3" r:id="rId3"/>
    <sheet name="Pengujian Karbon Aktif" sheetId="4" r:id="rId4"/>
    <sheet name="pH" sheetId="5" r:id="rId5"/>
    <sheet name="Waktu Kontak" sheetId="6" r:id="rId6"/>
    <sheet name="Freundlich &amp; Langmuir" sheetId="9" r:id="rId7"/>
  </sheets>
  <externalReferences>
    <externalReference r:id="rId10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<sst xmlns="http://schemas.openxmlformats.org/spreadsheetml/2006/main" count="360" uniqueCount="127">
  <si>
    <t>1. Oven T K</t>
  </si>
  <si>
    <t>Senin, 08/06/2020</t>
  </si>
  <si>
    <t>No. Cawan</t>
  </si>
  <si>
    <t>W1</t>
  </si>
  <si>
    <t>W2</t>
  </si>
  <si>
    <t>W2-W1</t>
  </si>
  <si>
    <t>W3</t>
  </si>
  <si>
    <t>W3-W1</t>
  </si>
  <si>
    <t>Kadar Air (%)</t>
  </si>
  <si>
    <t>Ket:</t>
  </si>
  <si>
    <t>W1 = Berat Cawan</t>
  </si>
  <si>
    <t>W2 = Berat Cawan + Contoh</t>
  </si>
  <si>
    <t>W3 = Berat Cawan + Contoh (Sesudah Oven/Furnace)</t>
  </si>
  <si>
    <t>W2 - W1 = Berat Contoh</t>
  </si>
  <si>
    <t>W3 - W1 = Berat Air</t>
  </si>
  <si>
    <t>(110 C)</t>
  </si>
  <si>
    <t>Total</t>
  </si>
  <si>
    <t>2. Furnace T K</t>
  </si>
  <si>
    <t>Selasa, 09/06/2020</t>
  </si>
  <si>
    <t>Kadar Abu (%)</t>
  </si>
  <si>
    <t>W3 - W1 = Berat Abu</t>
  </si>
  <si>
    <t>(2 Jam - 500 C)</t>
  </si>
  <si>
    <t>3. Furnace Arang T K</t>
  </si>
  <si>
    <t>Rabu, 10/06/2020</t>
  </si>
  <si>
    <t>(30 menit - 500 C)</t>
  </si>
  <si>
    <t>4.Lanjut Oven Arang T K</t>
  </si>
  <si>
    <t>Kamis, 11/06/2020</t>
  </si>
  <si>
    <t>(3 Jam - 110 C)</t>
  </si>
  <si>
    <t>5. Furnace Arang T K</t>
  </si>
  <si>
    <t>(45 menit - 500 C)</t>
  </si>
  <si>
    <t>6. Lanjut Oven Arang T K</t>
  </si>
  <si>
    <t>Jum'at, 12/06/2020</t>
  </si>
  <si>
    <t>7. Furnace Arang T K</t>
  </si>
  <si>
    <t>8. Lanjut Oven T K</t>
  </si>
  <si>
    <t>Senin, 15/06/2020</t>
  </si>
  <si>
    <t>9. Furnace Arang T K</t>
  </si>
  <si>
    <t>10. Lanjut Oven T K</t>
  </si>
  <si>
    <t>Selasa, 16/06/2020</t>
  </si>
  <si>
    <t>(3 jam - 110 C)</t>
  </si>
  <si>
    <t>11. Oven after aktivasi H3PO4</t>
  </si>
  <si>
    <t>Selasa, 30/06/2020</t>
  </si>
  <si>
    <t>12. Oven after aktivasi HCL dan NaOH</t>
  </si>
  <si>
    <t>HCL 3M</t>
  </si>
  <si>
    <t>Diket:</t>
  </si>
  <si>
    <t>Ditanya</t>
  </si>
  <si>
    <t>Rumus</t>
  </si>
  <si>
    <t>Jawaban</t>
  </si>
  <si>
    <t>% = 37</t>
  </si>
  <si>
    <t>M1</t>
  </si>
  <si>
    <t>(10.P.ρ)/Mr</t>
  </si>
  <si>
    <t>ρ = 1.19 gr/ml</t>
  </si>
  <si>
    <t>V1</t>
  </si>
  <si>
    <t>(M2.V2)/M1</t>
  </si>
  <si>
    <t>Mr = (H=1; Cl=35,5)</t>
  </si>
  <si>
    <t>M2 = 3M</t>
  </si>
  <si>
    <t>Jadi yg dibutuhkan</t>
  </si>
  <si>
    <t>ml</t>
  </si>
  <si>
    <t>V2 = 400</t>
  </si>
  <si>
    <t>NaOH 3M</t>
  </si>
  <si>
    <t>Mr = (Na=23; O=16; H=1)</t>
  </si>
  <si>
    <t>V2/1000</t>
  </si>
  <si>
    <t>n</t>
  </si>
  <si>
    <t>M1 X V1</t>
  </si>
  <si>
    <t>gr</t>
  </si>
  <si>
    <t>n X Mr</t>
  </si>
  <si>
    <t>H3PO4 3M</t>
  </si>
  <si>
    <t>% = 85</t>
  </si>
  <si>
    <t>ρ = 1.71 gr/ml</t>
  </si>
  <si>
    <t>Mr = (H=1; P=31; O=16)</t>
  </si>
  <si>
    <t>Kadar Air Karbon Aktif</t>
  </si>
  <si>
    <t>110 C / 3 Jam</t>
  </si>
  <si>
    <t>Jum'at, 03/07/2020</t>
  </si>
  <si>
    <t>HCl</t>
  </si>
  <si>
    <t>NaOH</t>
  </si>
  <si>
    <t>H3PO4</t>
  </si>
  <si>
    <t>W3 - W1 = Berat Air/Abu</t>
  </si>
  <si>
    <t>Kadar Abu Karbon Aktif</t>
  </si>
  <si>
    <t>600 C / 3 Jam</t>
  </si>
  <si>
    <t>Rabu, 08/07/2020</t>
  </si>
  <si>
    <t>Rabu, 15/07/2020</t>
  </si>
  <si>
    <t>No.</t>
  </si>
  <si>
    <t>Pengulangan</t>
  </si>
  <si>
    <t>Aktivator</t>
  </si>
  <si>
    <t>Konsentrasi awal BOD (mg/L )</t>
  </si>
  <si>
    <t>Konsentrasi Akhir (mg/L)</t>
  </si>
  <si>
    <t>Teradsorpsi</t>
  </si>
  <si>
    <t>% Removal</t>
  </si>
  <si>
    <t>HCl 3 M</t>
  </si>
  <si>
    <t>NaOH 3 M</t>
  </si>
  <si>
    <t>H3PO4 3 M</t>
  </si>
  <si>
    <t>Pengulangan 1</t>
  </si>
  <si>
    <t>Pengulangan 2</t>
  </si>
  <si>
    <t>Pengulangan 3</t>
  </si>
  <si>
    <t>Senin, 27/07/2020</t>
  </si>
  <si>
    <t>pH Air Limbah Dapur RM</t>
  </si>
  <si>
    <t>Co (mg/L )</t>
  </si>
  <si>
    <t>Ce (mg/L)</t>
  </si>
  <si>
    <t>Co-Ce (mg/L)</t>
  </si>
  <si>
    <t>pH Awal</t>
  </si>
  <si>
    <r>
      <t xml:space="preserve">pH setelah </t>
    </r>
    <r>
      <rPr>
        <i/>
        <sz val="11"/>
        <color theme="1"/>
        <rFont val="Calibri"/>
        <family val="2"/>
        <scheme val="minor"/>
      </rPr>
      <t>treatment</t>
    </r>
  </si>
  <si>
    <t xml:space="preserve">pH </t>
  </si>
  <si>
    <t xml:space="preserve"> </t>
  </si>
  <si>
    <t>pH 3</t>
  </si>
  <si>
    <t>4,8</t>
  </si>
  <si>
    <t>Waktu Kontak (Menit)</t>
  </si>
  <si>
    <r>
      <t xml:space="preserve">pH setelah </t>
    </r>
    <r>
      <rPr>
        <i/>
        <sz val="11"/>
        <color theme="1"/>
        <rFont val="Times New Roman"/>
        <family val="1"/>
      </rPr>
      <t>treatment</t>
    </r>
  </si>
  <si>
    <t>Selasa, 25/08/2020</t>
  </si>
  <si>
    <t>Massa Karbon Aktif (gr)</t>
  </si>
  <si>
    <t>V (Liter)</t>
  </si>
  <si>
    <t>qe (mg/gr)</t>
  </si>
  <si>
    <t>Isotherm Freundlich</t>
  </si>
  <si>
    <t>Log Ce</t>
  </si>
  <si>
    <t>Log qe</t>
  </si>
  <si>
    <t>1/n</t>
  </si>
  <si>
    <t>qe (mg/g)</t>
  </si>
  <si>
    <t>qe m</t>
  </si>
  <si>
    <t>Kesalahan  Relatif</t>
  </si>
  <si>
    <t>ARE</t>
  </si>
  <si>
    <t>Isotherm Langmuir</t>
  </si>
  <si>
    <t>Ce/qe</t>
  </si>
  <si>
    <t>q max</t>
  </si>
  <si>
    <t>Kesalahan Relatif</t>
  </si>
  <si>
    <t>KF</t>
  </si>
  <si>
    <t>KL</t>
  </si>
  <si>
    <t>y = a + bx</t>
  </si>
  <si>
    <t>1/qmax</t>
  </si>
  <si>
    <r>
      <t>H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PO</t>
    </r>
    <r>
      <rPr>
        <vertAlign val="subscript"/>
        <sz val="11"/>
        <color theme="1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</si>
</sst>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vertAlign val="subscript"/>
      <sz val="11"/>
      <color theme="1"/>
      <name val="Times New Roman"/>
      <family val="1"/>
    </font>
    <font>
      <b/>
      <sz val="10"/>
      <color theme="1"/>
      <name val="Times New Roman"/>
      <family val="2"/>
    </font>
    <font>
      <b/>
      <sz val="10.5"/>
      <color theme="1"/>
      <name val="Times New Roman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/>
      <name val="Times New Roman"/>
      <family val="2"/>
    </font>
    <font>
      <sz val="10"/>
      <color theme="1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/>
    <xf numFmtId="0" fontId="5" fillId="3" borderId="9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/>
    <xf numFmtId="0" fontId="7" fillId="4" borderId="0" xfId="0" applyFont="1" applyFill="1"/>
    <xf numFmtId="0" fontId="5" fillId="5" borderId="0" xfId="0" applyFont="1" applyFill="1"/>
    <xf numFmtId="0" fontId="7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0" xfId="0" applyFont="1" applyFill="1"/>
    <xf numFmtId="0" fontId="5" fillId="8" borderId="9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9" fillId="9" borderId="1" xfId="20" applyFont="1" applyFill="1" applyBorder="1" applyAlignment="1">
      <alignment horizontal="center" vertical="center"/>
    </xf>
    <xf numFmtId="164" fontId="9" fillId="9" borderId="1" xfId="2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/>
    <xf numFmtId="164" fontId="9" fillId="10" borderId="1" xfId="20" applyNumberFormat="1" applyFont="1" applyFill="1" applyBorder="1" applyAlignment="1">
      <alignment horizontal="center" vertical="center"/>
    </xf>
    <xf numFmtId="0" fontId="3" fillId="0" borderId="0" xfId="0" applyFont="1"/>
    <xf numFmtId="0" fontId="9" fillId="0" borderId="13" xfId="20" applyFont="1" applyFill="1" applyBorder="1" applyAlignment="1">
      <alignment vertical="center"/>
    </xf>
    <xf numFmtId="0" fontId="9" fillId="0" borderId="14" xfId="20" applyFont="1" applyFill="1" applyBorder="1" applyAlignment="1">
      <alignment vertical="center"/>
    </xf>
    <xf numFmtId="0" fontId="9" fillId="0" borderId="15" xfId="20" applyFont="1" applyFill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0" fillId="7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5"/>
          <c:y val="0.12675"/>
          <c:w val="0.85175"/>
          <c:h val="0.7245"/>
        </c:manualLayout>
      </c:layout>
      <c:lineChart>
        <c:grouping val="stacked"/>
        <c:varyColors val="0"/>
        <c:ser>
          <c:idx val="0"/>
          <c:order val="0"/>
          <c:tx>
            <c:strRef>
              <c:f>'[1]pH Optimum'!$D$13:$D$18</c:f>
              <c:strCache>
                <c:ptCount val="1"/>
                <c:pt idx="0">
                  <c:v>88,626 82,215 79,251 79,903 74,639 82,344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#,##0.0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'[1]pH Optimum'!$C$13:$C$18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cat>
          <c:val>
            <c:numRef>
              <c:f>'[1]pH Optimum'!$D$13:$D$18</c:f>
              <c:numCache>
                <c:formatCode>General</c:formatCode>
                <c:ptCount val="6"/>
                <c:pt idx="0">
                  <c:v>88.626</c:v>
                </c:pt>
                <c:pt idx="1">
                  <c:v>82.215</c:v>
                </c:pt>
                <c:pt idx="2">
                  <c:v>79.251</c:v>
                </c:pt>
                <c:pt idx="3">
                  <c:v>79.903</c:v>
                </c:pt>
                <c:pt idx="4">
                  <c:v>74.639</c:v>
                </c:pt>
                <c:pt idx="5">
                  <c:v>82.344</c:v>
                </c:pt>
              </c:numCache>
            </c:numRef>
          </c:val>
          <c:smooth val="0"/>
        </c:ser>
        <c:marker val="1"/>
        <c:axId val="33143859"/>
        <c:axId val="29859276"/>
      </c:lineChart>
      <c:catAx>
        <c:axId val="3314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pH</a:t>
                </a:r>
              </a:p>
            </c:rich>
          </c:tx>
          <c:layout>
            <c:manualLayout>
              <c:xMode val="edge"/>
              <c:yMode val="edge"/>
              <c:x val="0.511"/>
              <c:y val="0.9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  <c:min val="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Removal</a:t>
                </a:r>
                <a:r>
                  <a:rPr lang="en-US" cap="none" sz="1100" b="0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02525"/>
              <c:y val="0.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143859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Times New Roman"/>
                <a:cs typeface="Times New Roman"/>
              </a:rPr>
              <a:t>Waktu Kontak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'Waktu Kontak'!$D$4:$D$9</c:f>
              <c:numCache/>
            </c:numRef>
          </c:cat>
          <c:val>
            <c:numRef>
              <c:f>'Waktu Kontak'!$I$4:$I$9</c:f>
              <c:numCache/>
            </c:numRef>
          </c:val>
          <c:smooth val="0"/>
        </c:ser>
        <c:marker val="1"/>
        <c:axId val="298029"/>
        <c:axId val="2682262"/>
      </c:lineChart>
      <c:catAx>
        <c:axId val="29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Waktu Kontak (menit)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  <c:max val="46"/>
          <c:min val="3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% Removal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8029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25"/>
          <c:y val="0.05225"/>
          <c:w val="0.8237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183"/>
                  <c:y val="0.2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'[1]New_Langmuir&amp;Freundlich'!$M$5:$M$11</c:f>
              <c:numCache>
                <c:formatCode>General</c:formatCode>
                <c:ptCount val="7"/>
                <c:pt idx="0">
                  <c:v>3.326249812932018</c:v>
                </c:pt>
                <c:pt idx="1">
                  <c:v>3.2658103726007073</c:v>
                </c:pt>
                <c:pt idx="2">
                  <c:v>3.264300610305356</c:v>
                </c:pt>
                <c:pt idx="3">
                  <c:v>3.2337396156012983</c:v>
                </c:pt>
                <c:pt idx="4">
                  <c:v>3.2276219355685414</c:v>
                </c:pt>
                <c:pt idx="5">
                  <c:v>3.1889734569125134</c:v>
                </c:pt>
                <c:pt idx="6">
                  <c:v>3.1752885204888224</c:v>
                </c:pt>
              </c:numCache>
            </c:numRef>
          </c:xVal>
          <c:yVal>
            <c:numRef>
              <c:f>'[1]New_Langmuir&amp;Freundlich'!$N$5:$N$11</c:f>
              <c:numCache>
                <c:formatCode>General</c:formatCode>
                <c:ptCount val="7"/>
                <c:pt idx="0">
                  <c:v>3.5956023023813213</c:v>
                </c:pt>
                <c:pt idx="1">
                  <c:v>3.3309385668805143</c:v>
                </c:pt>
                <c:pt idx="2">
                  <c:v>3.0887105473635708</c:v>
                </c:pt>
                <c:pt idx="3">
                  <c:v>3.046229258045967</c:v>
                </c:pt>
                <c:pt idx="4">
                  <c:v>2.997990364655982</c:v>
                </c:pt>
                <c:pt idx="5">
                  <c:v>2.969321540907586</c:v>
                </c:pt>
                <c:pt idx="6">
                  <c:v>2.673840774141349</c:v>
                </c:pt>
              </c:numCache>
            </c:numRef>
          </c:yVal>
          <c:smooth val="0"/>
        </c:ser>
        <c:axId val="24140359"/>
        <c:axId val="15936640"/>
      </c:scatterChart>
      <c:valAx>
        <c:axId val="2414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Log Ce</a:t>
                </a:r>
              </a:p>
            </c:rich>
          </c:tx>
          <c:layout>
            <c:manualLayout>
              <c:xMode val="edge"/>
              <c:yMode val="edge"/>
              <c:x val="0.47175"/>
              <c:y val="0.9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936640"/>
        <c:crosses val="autoZero"/>
        <c:crossBetween val="midCat"/>
        <c:dispUnits/>
      </c:valAx>
      <c:valAx>
        <c:axId val="1593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Log qe</a:t>
                </a:r>
              </a:p>
            </c:rich>
          </c:tx>
          <c:layout>
            <c:manualLayout>
              <c:xMode val="edge"/>
              <c:yMode val="edge"/>
              <c:x val="0.00975"/>
              <c:y val="0.3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1403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</c:spPr>
            <c:trendlineType val="linear"/>
            <c:dispEq val="0"/>
            <c:dispRSqr val="0"/>
          </c:trendline>
          <c:trendline>
            <c:spPr>
              <a:ln w="19050" cap="rnd">
                <a:solidFill>
                  <a:schemeClr val="tx1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-0.0285"/>
                  <c:y val="-0.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  <c:spPr>
                <a:noFill/>
                <a:ln>
                  <a:noFill/>
                </a:ln>
              </c:spPr>
            </c:trendlineLbl>
          </c:trendline>
          <c:xVal>
            <c:numRef>
              <c:f>'[1]New_Langmuir&amp;Freundlich'!$J$18:$J$24</c:f>
              <c:numCache>
                <c:formatCode>General</c:formatCode>
                <c:ptCount val="7"/>
                <c:pt idx="0">
                  <c:v>2119.58</c:v>
                </c:pt>
                <c:pt idx="1">
                  <c:v>1844.21</c:v>
                </c:pt>
                <c:pt idx="2">
                  <c:v>1837.81</c:v>
                </c:pt>
                <c:pt idx="3">
                  <c:v>1712.93</c:v>
                </c:pt>
                <c:pt idx="4">
                  <c:v>1688.97</c:v>
                </c:pt>
                <c:pt idx="5">
                  <c:v>1545.16</c:v>
                </c:pt>
                <c:pt idx="6">
                  <c:v>1497.23</c:v>
                </c:pt>
              </c:numCache>
            </c:numRef>
          </c:xVal>
          <c:yVal>
            <c:numRef>
              <c:f>'[1]New_Langmuir&amp;Freundlich'!$M$18:$M$24</c:f>
              <c:numCache>
                <c:formatCode>General</c:formatCode>
                <c:ptCount val="7"/>
                <c:pt idx="0">
                  <c:v>0.5378330801168495</c:v>
                </c:pt>
                <c:pt idx="1">
                  <c:v>0.8607396430717532</c:v>
                </c:pt>
                <c:pt idx="2">
                  <c:v>1.4982699284329193</c:v>
                </c:pt>
                <c:pt idx="3">
                  <c:v>1.5399632524400044</c:v>
                </c:pt>
                <c:pt idx="4">
                  <c:v>1.6968035765115617</c:v>
                </c:pt>
                <c:pt idx="5">
                  <c:v>1.658257293027723</c:v>
                </c:pt>
                <c:pt idx="6">
                  <c:v>3.172836889953167</c:v>
                </c:pt>
              </c:numCache>
            </c:numRef>
          </c:yVal>
          <c:smooth val="0"/>
        </c:ser>
        <c:axId val="9212033"/>
        <c:axId val="15799434"/>
      </c:scatterChart>
      <c:valAx>
        <c:axId val="9212033"/>
        <c:scaling>
          <c:orientation val="minMax"/>
          <c:min val="1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Ce (mg/L)</a:t>
                </a:r>
              </a:p>
            </c:rich>
          </c:tx>
          <c:layout>
            <c:manualLayout>
              <c:xMode val="edge"/>
              <c:yMode val="edge"/>
              <c:x val="0.451"/>
              <c:y val="0.9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5799434"/>
        <c:crosses val="autoZero"/>
        <c:crossBetween val="midCat"/>
        <c:dispUnits/>
      </c:valAx>
      <c:valAx>
        <c:axId val="15799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chemeClr val="tx1"/>
                    </a:solidFill>
                    <a:latin typeface="Times New Roman"/>
                    <a:ea typeface="Times New Roman"/>
                    <a:cs typeface="Times New Roman"/>
                  </a:rPr>
                  <a:t>Ce/qe</a:t>
                </a:r>
              </a:p>
            </c:rich>
          </c:tx>
          <c:layout>
            <c:manualLayout>
              <c:xMode val="edge"/>
              <c:yMode val="edge"/>
              <c:x val="0.01475"/>
              <c:y val="0.4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chemeClr val="tx1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92120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latin typeface="Times New Roman"/>
          <a:ea typeface="Times New Roman"/>
          <a:cs typeface="Times New Roman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10</xdr:row>
      <xdr:rowOff>180975</xdr:rowOff>
    </xdr:from>
    <xdr:to>
      <xdr:col>9</xdr:col>
      <xdr:colOff>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4572000" y="2171700"/>
        <a:ext cx="60579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11</xdr:row>
      <xdr:rowOff>9525</xdr:rowOff>
    </xdr:from>
    <xdr:to>
      <xdr:col>8</xdr:col>
      <xdr:colOff>609600</xdr:colOff>
      <xdr:row>25</xdr:row>
      <xdr:rowOff>0</xdr:rowOff>
    </xdr:to>
    <xdr:graphicFrame macro="">
      <xdr:nvGraphicFramePr>
        <xdr:cNvPr id="3" name="Chart 2"/>
        <xdr:cNvGraphicFramePr/>
      </xdr:nvGraphicFramePr>
      <xdr:xfrm>
        <a:off x="1666875" y="2105025"/>
        <a:ext cx="4419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23</xdr:col>
      <xdr:colOff>38100</xdr:colOff>
      <xdr:row>14</xdr:row>
      <xdr:rowOff>38100</xdr:rowOff>
    </xdr:to>
    <xdr:graphicFrame macro="">
      <xdr:nvGraphicFramePr>
        <xdr:cNvPr id="2" name="Chart 1"/>
        <xdr:cNvGraphicFramePr/>
      </xdr:nvGraphicFramePr>
      <xdr:xfrm>
        <a:off x="11172825" y="0"/>
        <a:ext cx="5229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22</xdr:row>
      <xdr:rowOff>0</xdr:rowOff>
    </xdr:from>
    <xdr:to>
      <xdr:col>22</xdr:col>
      <xdr:colOff>600075</xdr:colOff>
      <xdr:row>36</xdr:row>
      <xdr:rowOff>76200</xdr:rowOff>
    </xdr:to>
    <xdr:graphicFrame macro="">
      <xdr:nvGraphicFramePr>
        <xdr:cNvPr id="3" name="Chart 2"/>
        <xdr:cNvGraphicFramePr/>
      </xdr:nvGraphicFramePr>
      <xdr:xfrm>
        <a:off x="11172825" y="4191000"/>
        <a:ext cx="51911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indows10\Music\DATA%20PENELITIAN%20DHEA%20USSARVI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n &amp; Furnace"/>
      <sheetName val="Pengenceran"/>
      <sheetName val="Kadar Air dan Kadar Abu"/>
      <sheetName val="Pengujian Karbon Aktif"/>
      <sheetName val="pH Optimum"/>
      <sheetName val="Waktu Kontak"/>
      <sheetName val="Massa Optimum"/>
      <sheetName val="Isotherm"/>
      <sheetName val="Langmuir &amp; Freundlich"/>
      <sheetName val="New_Langmuir&amp;Freundlich"/>
      <sheetName val="Sheet2"/>
    </sheetNames>
    <sheetDataSet>
      <sheetData sheetId="0"/>
      <sheetData sheetId="1"/>
      <sheetData sheetId="2"/>
      <sheetData sheetId="3">
        <row r="16">
          <cell r="Z16" t="str">
            <v>Pengulangan 1</v>
          </cell>
          <cell r="AA16" t="str">
            <v>Pengulangan 2</v>
          </cell>
          <cell r="AB16" t="str">
            <v>Pengulangan 3</v>
          </cell>
        </row>
        <row r="17">
          <cell r="Y17" t="str">
            <v>HCl</v>
          </cell>
          <cell r="Z17">
            <v>78.751</v>
          </cell>
          <cell r="AA17">
            <v>89.447</v>
          </cell>
          <cell r="AB17">
            <v>78.228</v>
          </cell>
        </row>
        <row r="18">
          <cell r="Y18" t="str">
            <v>NaOH</v>
          </cell>
          <cell r="Z18">
            <v>88.962</v>
          </cell>
          <cell r="AA18">
            <v>89.908</v>
          </cell>
          <cell r="AB18">
            <v>89.768</v>
          </cell>
        </row>
        <row r="19">
          <cell r="Y19" t="str">
            <v>H3PO4</v>
          </cell>
          <cell r="Z19">
            <v>89.675</v>
          </cell>
          <cell r="AA19">
            <v>89.047</v>
          </cell>
          <cell r="AB19">
            <v>90.347</v>
          </cell>
        </row>
      </sheetData>
      <sheetData sheetId="4">
        <row r="13">
          <cell r="C13">
            <v>3</v>
          </cell>
          <cell r="D13">
            <v>88.626</v>
          </cell>
        </row>
        <row r="14">
          <cell r="C14">
            <v>4</v>
          </cell>
          <cell r="D14">
            <v>82.215</v>
          </cell>
        </row>
        <row r="15">
          <cell r="C15">
            <v>5</v>
          </cell>
          <cell r="D15">
            <v>79.251</v>
          </cell>
        </row>
        <row r="16">
          <cell r="C16">
            <v>6</v>
          </cell>
          <cell r="D16">
            <v>79.903</v>
          </cell>
        </row>
        <row r="17">
          <cell r="C17">
            <v>7</v>
          </cell>
          <cell r="D17">
            <v>74.639</v>
          </cell>
        </row>
        <row r="18">
          <cell r="C18">
            <v>8</v>
          </cell>
          <cell r="D18">
            <v>82.344</v>
          </cell>
        </row>
      </sheetData>
      <sheetData sheetId="5">
        <row r="3">
          <cell r="U3">
            <v>5</v>
          </cell>
        </row>
      </sheetData>
      <sheetData sheetId="6">
        <row r="3">
          <cell r="S3">
            <v>0.2</v>
          </cell>
        </row>
      </sheetData>
      <sheetData sheetId="7">
        <row r="3">
          <cell r="Y3">
            <v>2119.58</v>
          </cell>
        </row>
      </sheetData>
      <sheetData sheetId="8"/>
      <sheetData sheetId="9">
        <row r="5">
          <cell r="M5">
            <v>3.326249812932018</v>
          </cell>
          <cell r="N5">
            <v>3.5956023023813213</v>
          </cell>
        </row>
        <row r="6">
          <cell r="M6">
            <v>3.2658103726007073</v>
          </cell>
          <cell r="N6">
            <v>3.3309385668805143</v>
          </cell>
        </row>
        <row r="7">
          <cell r="M7">
            <v>3.264300610305356</v>
          </cell>
          <cell r="N7">
            <v>3.0887105473635708</v>
          </cell>
        </row>
        <row r="8">
          <cell r="M8">
            <v>3.2337396156012983</v>
          </cell>
          <cell r="N8">
            <v>3.046229258045967</v>
          </cell>
        </row>
        <row r="9">
          <cell r="M9">
            <v>3.2276219355685414</v>
          </cell>
          <cell r="N9">
            <v>2.997990364655982</v>
          </cell>
        </row>
        <row r="10">
          <cell r="M10">
            <v>3.1889734569125134</v>
          </cell>
          <cell r="N10">
            <v>2.969321540907586</v>
          </cell>
        </row>
        <row r="11">
          <cell r="M11">
            <v>3.1752885204888224</v>
          </cell>
          <cell r="N11">
            <v>2.673840774141349</v>
          </cell>
        </row>
        <row r="18">
          <cell r="J18">
            <v>2119.58</v>
          </cell>
          <cell r="M18">
            <v>0.5378330801168495</v>
          </cell>
        </row>
        <row r="19">
          <cell r="J19">
            <v>1844.21</v>
          </cell>
          <cell r="M19">
            <v>0.8607396430717532</v>
          </cell>
        </row>
        <row r="20">
          <cell r="J20">
            <v>1837.81</v>
          </cell>
          <cell r="M20">
            <v>1.4982699284329193</v>
          </cell>
        </row>
        <row r="21">
          <cell r="J21">
            <v>1712.93</v>
          </cell>
          <cell r="M21">
            <v>1.5399632524400044</v>
          </cell>
        </row>
        <row r="22">
          <cell r="J22">
            <v>1688.97</v>
          </cell>
          <cell r="M22">
            <v>1.6968035765115617</v>
          </cell>
        </row>
        <row r="23">
          <cell r="J23">
            <v>1545.16</v>
          </cell>
          <cell r="M23">
            <v>1.658257293027723</v>
          </cell>
        </row>
        <row r="24">
          <cell r="J24">
            <v>1497.23</v>
          </cell>
          <cell r="M24">
            <v>3.172836889953167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56"/>
  <sheetViews>
    <sheetView workbookViewId="0" topLeftCell="A1">
      <selection activeCell="E7" sqref="E7"/>
    </sheetView>
  </sheetViews>
  <sheetFormatPr defaultColWidth="9.00390625" defaultRowHeight="15"/>
  <cols>
    <col min="1" max="2" width="9.00390625" style="8" customWidth="1"/>
    <col min="3" max="3" width="10.421875" style="8" customWidth="1"/>
    <col min="4" max="4" width="9.00390625" style="8" customWidth="1"/>
    <col min="5" max="5" width="15.00390625" style="8" customWidth="1"/>
    <col min="6" max="7" width="9.00390625" style="8" customWidth="1"/>
    <col min="8" max="8" width="20.57421875" style="8" customWidth="1"/>
    <col min="9" max="9" width="12.140625" style="8" customWidth="1"/>
    <col min="10" max="16384" width="9.00390625" style="8" customWidth="1"/>
  </cols>
  <sheetData>
    <row r="2" spans="2:3" ht="15">
      <c r="B2" s="108" t="s">
        <v>0</v>
      </c>
      <c r="C2" s="108"/>
    </row>
    <row r="3" spans="2:3" ht="15">
      <c r="B3" s="109" t="s">
        <v>1</v>
      </c>
      <c r="C3" s="109"/>
    </row>
    <row r="4" spans="3:16" ht="15">
      <c r="C4" s="9" t="s">
        <v>2</v>
      </c>
      <c r="D4" s="9" t="s">
        <v>3</v>
      </c>
      <c r="E4" s="9" t="s">
        <v>4</v>
      </c>
      <c r="F4" s="16" t="s">
        <v>5</v>
      </c>
      <c r="G4" s="9" t="s">
        <v>6</v>
      </c>
      <c r="H4" s="16" t="s">
        <v>7</v>
      </c>
      <c r="I4" s="16" t="s">
        <v>8</v>
      </c>
      <c r="L4" s="17" t="s">
        <v>9</v>
      </c>
      <c r="M4" s="18"/>
      <c r="N4" s="18"/>
      <c r="O4" s="18"/>
      <c r="P4" s="19"/>
    </row>
    <row r="5" spans="3:16" ht="15">
      <c r="C5" s="16">
        <v>1</v>
      </c>
      <c r="D5" s="16">
        <v>47.5213</v>
      </c>
      <c r="E5" s="21">
        <v>100.6745</v>
      </c>
      <c r="F5" s="16">
        <f>E5-D5</f>
        <v>53.1532</v>
      </c>
      <c r="G5" s="51">
        <v>94.2006</v>
      </c>
      <c r="H5" s="21">
        <f>G5-D5</f>
        <v>46.6793</v>
      </c>
      <c r="I5" s="16">
        <f>((E5-G5)/(E5-D5))*100</f>
        <v>12.179699434841178</v>
      </c>
      <c r="L5" s="24" t="s">
        <v>10</v>
      </c>
      <c r="M5" s="25"/>
      <c r="N5" s="25"/>
      <c r="O5" s="25"/>
      <c r="P5" s="26"/>
    </row>
    <row r="6" spans="3:16" ht="15">
      <c r="C6" s="29">
        <v>2</v>
      </c>
      <c r="D6" s="29">
        <v>51.1533</v>
      </c>
      <c r="E6" s="28">
        <v>103.2142</v>
      </c>
      <c r="F6" s="29">
        <f aca="true" t="shared" si="0" ref="F6:F12">E6-D6</f>
        <v>52.060900000000004</v>
      </c>
      <c r="G6" s="52">
        <v>96.8742</v>
      </c>
      <c r="H6" s="28">
        <f aca="true" t="shared" si="1" ref="H6:H12">G6-D6</f>
        <v>45.7209</v>
      </c>
      <c r="I6" s="16">
        <f aca="true" t="shared" si="2" ref="I6:I12">((E6-G6)/(E6-D6))*100</f>
        <v>12.178045327683545</v>
      </c>
      <c r="L6" s="24" t="s">
        <v>11</v>
      </c>
      <c r="M6" s="25"/>
      <c r="N6" s="25"/>
      <c r="O6" s="25"/>
      <c r="P6" s="26"/>
    </row>
    <row r="7" spans="3:16" ht="15">
      <c r="C7" s="29">
        <v>3</v>
      </c>
      <c r="D7" s="29">
        <v>45.0518</v>
      </c>
      <c r="E7" s="71">
        <v>100.8597</v>
      </c>
      <c r="F7" s="29">
        <f t="shared" si="0"/>
        <v>55.807900000000004</v>
      </c>
      <c r="G7" s="52">
        <v>94.1526</v>
      </c>
      <c r="H7" s="28">
        <f t="shared" si="1"/>
        <v>49.10080000000001</v>
      </c>
      <c r="I7" s="16">
        <f t="shared" si="2"/>
        <v>12.018190972962604</v>
      </c>
      <c r="L7" s="24" t="s">
        <v>12</v>
      </c>
      <c r="M7" s="25"/>
      <c r="N7" s="25"/>
      <c r="O7" s="25"/>
      <c r="P7" s="26"/>
    </row>
    <row r="8" spans="3:16" ht="15">
      <c r="C8" s="29">
        <v>4</v>
      </c>
      <c r="D8" s="29">
        <v>48.0736</v>
      </c>
      <c r="E8" s="28">
        <v>100.5512</v>
      </c>
      <c r="F8" s="29">
        <f t="shared" si="0"/>
        <v>52.477599999999995</v>
      </c>
      <c r="G8" s="52">
        <v>95.9773</v>
      </c>
      <c r="H8" s="28">
        <f t="shared" si="1"/>
        <v>47.9037</v>
      </c>
      <c r="I8" s="16">
        <f t="shared" si="2"/>
        <v>8.715909264143168</v>
      </c>
      <c r="L8" s="24" t="s">
        <v>13</v>
      </c>
      <c r="M8" s="25"/>
      <c r="N8" s="25"/>
      <c r="O8" s="25"/>
      <c r="P8" s="26"/>
    </row>
    <row r="9" spans="3:16" ht="15">
      <c r="C9" s="29">
        <v>5</v>
      </c>
      <c r="D9" s="29">
        <v>47.0915</v>
      </c>
      <c r="E9" s="28">
        <v>102.503</v>
      </c>
      <c r="F9" s="29">
        <f t="shared" si="0"/>
        <v>55.4115</v>
      </c>
      <c r="G9" s="52">
        <v>95.7994</v>
      </c>
      <c r="H9" s="28">
        <f t="shared" si="1"/>
        <v>48.7079</v>
      </c>
      <c r="I9" s="16">
        <f t="shared" si="2"/>
        <v>12.097849724335191</v>
      </c>
      <c r="K9" s="42"/>
      <c r="L9" s="38" t="s">
        <v>14</v>
      </c>
      <c r="M9" s="39"/>
      <c r="N9" s="39"/>
      <c r="O9" s="39"/>
      <c r="P9" s="40"/>
    </row>
    <row r="10" spans="3:9" ht="15">
      <c r="C10" s="29">
        <v>6</v>
      </c>
      <c r="D10" s="29">
        <v>48.028</v>
      </c>
      <c r="E10" s="28">
        <v>100.4237</v>
      </c>
      <c r="F10" s="29">
        <f t="shared" si="0"/>
        <v>52.3957</v>
      </c>
      <c r="G10" s="52">
        <v>94.1352</v>
      </c>
      <c r="H10" s="28">
        <f t="shared" si="1"/>
        <v>46.1072</v>
      </c>
      <c r="I10" s="16">
        <f t="shared" si="2"/>
        <v>12.00193909042154</v>
      </c>
    </row>
    <row r="11" spans="3:13" ht="15">
      <c r="C11" s="29">
        <v>7</v>
      </c>
      <c r="D11" s="29">
        <v>45.1348</v>
      </c>
      <c r="E11" s="28">
        <v>100.8051</v>
      </c>
      <c r="F11" s="29">
        <f t="shared" si="0"/>
        <v>55.6703</v>
      </c>
      <c r="G11" s="52">
        <v>94.1025</v>
      </c>
      <c r="H11" s="28">
        <f t="shared" si="1"/>
        <v>48.96770000000001</v>
      </c>
      <c r="I11" s="16">
        <f t="shared" si="2"/>
        <v>12.039812970291143</v>
      </c>
      <c r="L11" s="110" t="s">
        <v>15</v>
      </c>
      <c r="M11" s="110"/>
    </row>
    <row r="12" spans="3:9" ht="15">
      <c r="C12" s="34">
        <v>8</v>
      </c>
      <c r="D12" s="34">
        <v>47.0244</v>
      </c>
      <c r="E12" s="33">
        <v>101.1728</v>
      </c>
      <c r="F12" s="34">
        <f t="shared" si="0"/>
        <v>54.148399999999995</v>
      </c>
      <c r="G12" s="53">
        <v>94.5591</v>
      </c>
      <c r="H12" s="33">
        <f t="shared" si="1"/>
        <v>47.5347</v>
      </c>
      <c r="I12" s="16">
        <f t="shared" si="2"/>
        <v>12.214026637906189</v>
      </c>
    </row>
    <row r="13" spans="3:9" ht="15">
      <c r="C13" s="37" t="s">
        <v>16</v>
      </c>
      <c r="D13" s="37">
        <f>SUM(D5:D12)</f>
        <v>379.0787</v>
      </c>
      <c r="E13" s="37">
        <f aca="true" t="shared" si="3" ref="E13:I13">SUM(E5:E12)</f>
        <v>810.2042000000001</v>
      </c>
      <c r="F13" s="37">
        <f t="shared" si="3"/>
        <v>431.12549999999993</v>
      </c>
      <c r="G13" s="37">
        <f t="shared" si="3"/>
        <v>759.8009</v>
      </c>
      <c r="H13" s="37">
        <f t="shared" si="3"/>
        <v>380.7222</v>
      </c>
      <c r="I13" s="37">
        <f t="shared" si="3"/>
        <v>93.44547342258456</v>
      </c>
    </row>
    <row r="16" spans="2:3" ht="15">
      <c r="B16" s="108" t="s">
        <v>17</v>
      </c>
      <c r="C16" s="108"/>
    </row>
    <row r="17" spans="2:3" ht="15">
      <c r="B17" s="109" t="s">
        <v>18</v>
      </c>
      <c r="C17" s="109"/>
    </row>
    <row r="18" spans="3:16" ht="15">
      <c r="C18" s="9" t="s">
        <v>2</v>
      </c>
      <c r="D18" s="9" t="s">
        <v>3</v>
      </c>
      <c r="E18" s="9" t="s">
        <v>4</v>
      </c>
      <c r="F18" s="16" t="s">
        <v>5</v>
      </c>
      <c r="G18" s="9" t="s">
        <v>6</v>
      </c>
      <c r="H18" s="16" t="s">
        <v>7</v>
      </c>
      <c r="I18" s="16" t="s">
        <v>19</v>
      </c>
      <c r="L18" s="17" t="s">
        <v>9</v>
      </c>
      <c r="M18" s="18"/>
      <c r="N18" s="18"/>
      <c r="O18" s="18"/>
      <c r="P18" s="19"/>
    </row>
    <row r="19" spans="3:16" ht="15">
      <c r="C19" s="54">
        <v>1</v>
      </c>
      <c r="D19" s="16">
        <v>47.5213</v>
      </c>
      <c r="E19" s="21">
        <v>94.2006</v>
      </c>
      <c r="F19" s="16">
        <f>E19-D19</f>
        <v>46.6793</v>
      </c>
      <c r="G19" s="51">
        <v>55.2186</v>
      </c>
      <c r="H19" s="21">
        <f>G19-D19</f>
        <v>7.697300000000006</v>
      </c>
      <c r="I19" s="16">
        <f>(H19/F19)*100</f>
        <v>16.489750274747063</v>
      </c>
      <c r="L19" s="24" t="s">
        <v>10</v>
      </c>
      <c r="M19" s="25"/>
      <c r="N19" s="25"/>
      <c r="O19" s="25"/>
      <c r="P19" s="26"/>
    </row>
    <row r="20" spans="3:16" ht="15">
      <c r="C20" s="55">
        <v>2</v>
      </c>
      <c r="D20" s="29">
        <v>51.1533</v>
      </c>
      <c r="E20" s="28">
        <v>96.8742</v>
      </c>
      <c r="F20" s="29">
        <f aca="true" t="shared" si="4" ref="F20:F26">E20-D20</f>
        <v>45.7209</v>
      </c>
      <c r="G20" s="52">
        <v>55.2755</v>
      </c>
      <c r="H20" s="28">
        <f aca="true" t="shared" si="5" ref="H20:H26">G20-D20</f>
        <v>4.122199999999999</v>
      </c>
      <c r="I20" s="16">
        <f aca="true" t="shared" si="6" ref="I20:I26">(H20/F20)*100</f>
        <v>9.016007996343028</v>
      </c>
      <c r="L20" s="24" t="s">
        <v>11</v>
      </c>
      <c r="M20" s="25"/>
      <c r="N20" s="25"/>
      <c r="O20" s="25"/>
      <c r="P20" s="26"/>
    </row>
    <row r="21" spans="3:16" ht="15">
      <c r="C21" s="55">
        <v>3</v>
      </c>
      <c r="D21" s="29">
        <v>45.0518</v>
      </c>
      <c r="E21" s="8">
        <v>94.1526</v>
      </c>
      <c r="F21" s="29">
        <f t="shared" si="4"/>
        <v>49.10080000000001</v>
      </c>
      <c r="G21" s="52">
        <v>54.2515</v>
      </c>
      <c r="H21" s="28">
        <f t="shared" si="5"/>
        <v>9.1997</v>
      </c>
      <c r="I21" s="16">
        <f t="shared" si="6"/>
        <v>18.736354601147028</v>
      </c>
      <c r="L21" s="24" t="s">
        <v>12</v>
      </c>
      <c r="M21" s="25"/>
      <c r="N21" s="25"/>
      <c r="O21" s="25"/>
      <c r="P21" s="26"/>
    </row>
    <row r="22" spans="3:16" ht="15">
      <c r="C22" s="29">
        <v>4</v>
      </c>
      <c r="D22" s="29">
        <v>48.0736</v>
      </c>
      <c r="E22" s="28">
        <v>95.9773</v>
      </c>
      <c r="F22" s="29">
        <f t="shared" si="4"/>
        <v>47.9037</v>
      </c>
      <c r="G22" s="52">
        <v>55.5913</v>
      </c>
      <c r="H22" s="28">
        <f t="shared" si="5"/>
        <v>7.517699999999998</v>
      </c>
      <c r="I22" s="16">
        <f t="shared" si="6"/>
        <v>15.693359803104975</v>
      </c>
      <c r="L22" s="24" t="s">
        <v>13</v>
      </c>
      <c r="M22" s="25"/>
      <c r="N22" s="25"/>
      <c r="O22" s="25"/>
      <c r="P22" s="26"/>
    </row>
    <row r="23" spans="3:16" ht="15">
      <c r="C23" s="29">
        <v>5</v>
      </c>
      <c r="D23" s="29">
        <v>47.0915</v>
      </c>
      <c r="E23" s="28">
        <v>95.7994</v>
      </c>
      <c r="F23" s="29">
        <f t="shared" si="4"/>
        <v>48.7079</v>
      </c>
      <c r="G23" s="52">
        <v>54.8848</v>
      </c>
      <c r="H23" s="28">
        <f t="shared" si="5"/>
        <v>7.793299999999995</v>
      </c>
      <c r="I23" s="16">
        <f t="shared" si="6"/>
        <v>16.000073909981737</v>
      </c>
      <c r="L23" s="38" t="s">
        <v>20</v>
      </c>
      <c r="M23" s="39"/>
      <c r="N23" s="39"/>
      <c r="O23" s="39"/>
      <c r="P23" s="40"/>
    </row>
    <row r="24" spans="3:9" ht="15">
      <c r="C24" s="29">
        <v>6</v>
      </c>
      <c r="D24" s="29">
        <v>48.028</v>
      </c>
      <c r="E24" s="28">
        <v>94.1352</v>
      </c>
      <c r="F24" s="29">
        <f t="shared" si="4"/>
        <v>46.1072</v>
      </c>
      <c r="G24" s="52">
        <v>53.3445</v>
      </c>
      <c r="H24" s="28">
        <f t="shared" si="5"/>
        <v>5.316499999999998</v>
      </c>
      <c r="I24" s="16">
        <f t="shared" si="6"/>
        <v>11.530737064926948</v>
      </c>
    </row>
    <row r="25" spans="3:13" ht="15">
      <c r="C25" s="55">
        <v>7</v>
      </c>
      <c r="D25" s="29">
        <v>45.1348</v>
      </c>
      <c r="E25" s="28">
        <v>94.1025</v>
      </c>
      <c r="F25" s="29">
        <f t="shared" si="4"/>
        <v>48.96770000000001</v>
      </c>
      <c r="G25" s="52">
        <v>52.0103</v>
      </c>
      <c r="H25" s="28">
        <f t="shared" si="5"/>
        <v>6.875500000000002</v>
      </c>
      <c r="I25" s="16">
        <f t="shared" si="6"/>
        <v>14.04088817730872</v>
      </c>
      <c r="L25" s="110" t="s">
        <v>21</v>
      </c>
      <c r="M25" s="110"/>
    </row>
    <row r="26" spans="3:9" ht="15">
      <c r="C26" s="34">
        <v>8</v>
      </c>
      <c r="D26" s="34">
        <v>47.0244</v>
      </c>
      <c r="E26" s="33">
        <v>94.5591</v>
      </c>
      <c r="F26" s="34">
        <f t="shared" si="4"/>
        <v>47.5347</v>
      </c>
      <c r="G26" s="53">
        <v>51.1092</v>
      </c>
      <c r="H26" s="33">
        <f t="shared" si="5"/>
        <v>4.084800000000001</v>
      </c>
      <c r="I26" s="16">
        <f t="shared" si="6"/>
        <v>8.593301314618587</v>
      </c>
    </row>
    <row r="27" spans="3:9" ht="15">
      <c r="C27" s="37" t="s">
        <v>16</v>
      </c>
      <c r="D27" s="37">
        <f>SUM(D19:D26)</f>
        <v>379.0787</v>
      </c>
      <c r="E27" s="37">
        <f aca="true" t="shared" si="7" ref="E27:I27">SUM(E19:E26)</f>
        <v>759.8009</v>
      </c>
      <c r="F27" s="37">
        <f t="shared" si="7"/>
        <v>380.7222</v>
      </c>
      <c r="G27" s="37">
        <f t="shared" si="7"/>
        <v>431.6857</v>
      </c>
      <c r="H27" s="37">
        <f t="shared" si="7"/>
        <v>52.607</v>
      </c>
      <c r="I27" s="37">
        <f t="shared" si="7"/>
        <v>110.10047314217809</v>
      </c>
    </row>
    <row r="30" spans="2:9" ht="15">
      <c r="B30" s="111" t="s">
        <v>22</v>
      </c>
      <c r="C30" s="111"/>
      <c r="H30" s="56"/>
      <c r="I30" s="56"/>
    </row>
    <row r="31" spans="2:3" ht="15">
      <c r="B31" s="109" t="s">
        <v>23</v>
      </c>
      <c r="C31" s="109"/>
    </row>
    <row r="32" spans="3:16" ht="15">
      <c r="C32" s="9" t="s">
        <v>2</v>
      </c>
      <c r="D32" s="9" t="s">
        <v>3</v>
      </c>
      <c r="E32" s="9" t="s">
        <v>4</v>
      </c>
      <c r="F32" s="16" t="s">
        <v>5</v>
      </c>
      <c r="G32" s="9" t="s">
        <v>6</v>
      </c>
      <c r="H32" s="16" t="s">
        <v>7</v>
      </c>
      <c r="I32" s="16" t="s">
        <v>19</v>
      </c>
      <c r="L32" s="17" t="s">
        <v>9</v>
      </c>
      <c r="M32" s="18"/>
      <c r="N32" s="18"/>
      <c r="O32" s="18"/>
      <c r="P32" s="19"/>
    </row>
    <row r="33" spans="3:16" ht="15">
      <c r="C33" s="57">
        <v>1</v>
      </c>
      <c r="D33" s="16">
        <v>46.9524</v>
      </c>
      <c r="E33" s="21">
        <v>91.7019</v>
      </c>
      <c r="F33" s="16">
        <f>E33-D33</f>
        <v>44.7495</v>
      </c>
      <c r="G33" s="51">
        <v>75.0824</v>
      </c>
      <c r="H33" s="21">
        <f>G33-D33</f>
        <v>28.13000000000001</v>
      </c>
      <c r="I33" s="16">
        <f>(H33/F33)*100</f>
        <v>62.86103755349224</v>
      </c>
      <c r="L33" s="24" t="s">
        <v>10</v>
      </c>
      <c r="M33" s="25"/>
      <c r="N33" s="25"/>
      <c r="O33" s="25"/>
      <c r="P33" s="26"/>
    </row>
    <row r="34" spans="3:16" ht="15">
      <c r="C34" s="58">
        <v>2</v>
      </c>
      <c r="D34" s="29">
        <v>50.0664</v>
      </c>
      <c r="E34" s="28">
        <v>93.2279</v>
      </c>
      <c r="F34" s="29">
        <f aca="true" t="shared" si="8" ref="F34:F40">E34-D34</f>
        <v>43.161500000000004</v>
      </c>
      <c r="G34" s="52">
        <v>81.7611</v>
      </c>
      <c r="H34" s="28">
        <f aca="true" t="shared" si="9" ref="H34:H40">G34-D34</f>
        <v>31.694699999999997</v>
      </c>
      <c r="I34" s="16">
        <f aca="true" t="shared" si="10" ref="I34:I40">(H34/F34)*100</f>
        <v>73.43280469863187</v>
      </c>
      <c r="L34" s="24" t="s">
        <v>11</v>
      </c>
      <c r="M34" s="25"/>
      <c r="N34" s="25"/>
      <c r="O34" s="25"/>
      <c r="P34" s="26"/>
    </row>
    <row r="35" spans="3:16" ht="15">
      <c r="C35" s="58">
        <v>3</v>
      </c>
      <c r="D35" s="29">
        <v>48.0655</v>
      </c>
      <c r="E35" s="8">
        <v>94.9942</v>
      </c>
      <c r="F35" s="29">
        <f t="shared" si="8"/>
        <v>46.928700000000006</v>
      </c>
      <c r="G35" s="52">
        <v>83.2292</v>
      </c>
      <c r="H35" s="28">
        <f t="shared" si="9"/>
        <v>35.163700000000006</v>
      </c>
      <c r="I35" s="16">
        <f t="shared" si="10"/>
        <v>74.93005346408488</v>
      </c>
      <c r="L35" s="24" t="s">
        <v>12</v>
      </c>
      <c r="M35" s="25"/>
      <c r="N35" s="25"/>
      <c r="O35" s="25"/>
      <c r="P35" s="26"/>
    </row>
    <row r="36" spans="3:16" ht="15">
      <c r="C36" s="29">
        <v>4</v>
      </c>
      <c r="D36" s="29">
        <v>45.0198</v>
      </c>
      <c r="E36" s="28">
        <v>91.768</v>
      </c>
      <c r="F36" s="29">
        <f t="shared" si="8"/>
        <v>46.748200000000004</v>
      </c>
      <c r="G36" s="52">
        <v>76.9838</v>
      </c>
      <c r="H36" s="28">
        <f t="shared" si="9"/>
        <v>31.964000000000006</v>
      </c>
      <c r="I36" s="16">
        <f t="shared" si="10"/>
        <v>68.37482512695676</v>
      </c>
      <c r="L36" s="24" t="s">
        <v>13</v>
      </c>
      <c r="M36" s="25"/>
      <c r="N36" s="25"/>
      <c r="O36" s="25"/>
      <c r="P36" s="26"/>
    </row>
    <row r="37" spans="3:16" ht="15">
      <c r="C37" s="29">
        <v>5</v>
      </c>
      <c r="D37" s="29">
        <v>44.2997</v>
      </c>
      <c r="E37" s="28">
        <v>89.1024</v>
      </c>
      <c r="F37" s="29">
        <f t="shared" si="8"/>
        <v>44.8027</v>
      </c>
      <c r="G37" s="52">
        <v>74.1859</v>
      </c>
      <c r="H37" s="28">
        <f t="shared" si="9"/>
        <v>29.886200000000002</v>
      </c>
      <c r="I37" s="16">
        <f t="shared" si="10"/>
        <v>66.7062476145411</v>
      </c>
      <c r="L37" s="38" t="s">
        <v>20</v>
      </c>
      <c r="M37" s="39"/>
      <c r="N37" s="39"/>
      <c r="O37" s="39"/>
      <c r="P37" s="40"/>
    </row>
    <row r="38" spans="3:9" ht="15">
      <c r="C38" s="29">
        <v>6</v>
      </c>
      <c r="D38" s="29">
        <v>50.8639</v>
      </c>
      <c r="E38" s="28">
        <v>95.4199</v>
      </c>
      <c r="F38" s="29">
        <f t="shared" si="8"/>
        <v>44.556</v>
      </c>
      <c r="G38" s="52">
        <v>82.2299</v>
      </c>
      <c r="H38" s="28">
        <f t="shared" si="9"/>
        <v>31.366</v>
      </c>
      <c r="I38" s="16">
        <f t="shared" si="10"/>
        <v>70.39680402190503</v>
      </c>
    </row>
    <row r="39" spans="3:13" ht="15">
      <c r="C39" s="58">
        <v>7</v>
      </c>
      <c r="D39" s="29">
        <v>45.1484</v>
      </c>
      <c r="E39" s="28">
        <v>88.6202</v>
      </c>
      <c r="F39" s="29">
        <f t="shared" si="8"/>
        <v>43.471799999999995</v>
      </c>
      <c r="G39" s="52">
        <v>76.7881</v>
      </c>
      <c r="H39" s="28">
        <f t="shared" si="9"/>
        <v>31.639699999999998</v>
      </c>
      <c r="I39" s="16">
        <f t="shared" si="10"/>
        <v>72.78212542383798</v>
      </c>
      <c r="L39" s="110" t="s">
        <v>24</v>
      </c>
      <c r="M39" s="110"/>
    </row>
    <row r="40" spans="3:9" ht="15">
      <c r="C40" s="34">
        <v>8</v>
      </c>
      <c r="D40" s="34">
        <v>49.8555</v>
      </c>
      <c r="E40" s="33">
        <v>94.8905</v>
      </c>
      <c r="F40" s="34">
        <f t="shared" si="8"/>
        <v>45.035000000000004</v>
      </c>
      <c r="G40" s="53">
        <v>82.7638</v>
      </c>
      <c r="H40" s="33">
        <f t="shared" si="9"/>
        <v>32.908300000000004</v>
      </c>
      <c r="I40" s="16">
        <f t="shared" si="10"/>
        <v>73.07272121683135</v>
      </c>
    </row>
    <row r="41" spans="3:9" ht="15">
      <c r="C41" s="37" t="s">
        <v>16</v>
      </c>
      <c r="D41" s="37">
        <f>SUM(D33:D40)</f>
        <v>380.2716</v>
      </c>
      <c r="E41" s="37">
        <f aca="true" t="shared" si="11" ref="E41:I41">SUM(E33:E40)</f>
        <v>739.7249999999999</v>
      </c>
      <c r="F41" s="37">
        <f t="shared" si="11"/>
        <v>359.4534</v>
      </c>
      <c r="G41" s="37">
        <f t="shared" si="11"/>
        <v>633.0242000000001</v>
      </c>
      <c r="H41" s="37">
        <f t="shared" si="11"/>
        <v>252.75260000000003</v>
      </c>
      <c r="I41" s="37">
        <f t="shared" si="11"/>
        <v>562.5566191202812</v>
      </c>
    </row>
    <row r="44" spans="2:9" ht="15">
      <c r="B44" s="56" t="s">
        <v>25</v>
      </c>
      <c r="C44" s="56"/>
      <c r="H44" s="59"/>
      <c r="I44" s="59"/>
    </row>
    <row r="45" spans="2:3" ht="15">
      <c r="B45" s="109" t="s">
        <v>26</v>
      </c>
      <c r="C45" s="109"/>
    </row>
    <row r="46" spans="3:16" ht="15">
      <c r="C46" s="9" t="s">
        <v>2</v>
      </c>
      <c r="D46" s="9" t="s">
        <v>3</v>
      </c>
      <c r="E46" s="9" t="s">
        <v>4</v>
      </c>
      <c r="F46" s="16" t="s">
        <v>5</v>
      </c>
      <c r="G46" s="9" t="s">
        <v>6</v>
      </c>
      <c r="H46" s="16" t="s">
        <v>7</v>
      </c>
      <c r="I46" s="16" t="s">
        <v>8</v>
      </c>
      <c r="L46" s="17" t="s">
        <v>9</v>
      </c>
      <c r="M46" s="18"/>
      <c r="N46" s="18"/>
      <c r="O46" s="18"/>
      <c r="P46" s="19"/>
    </row>
    <row r="47" spans="3:16" ht="15">
      <c r="C47" s="57">
        <v>1</v>
      </c>
      <c r="D47" s="16">
        <v>46.9624</v>
      </c>
      <c r="E47" s="21">
        <v>75.0824</v>
      </c>
      <c r="F47" s="16">
        <f>E47-D47</f>
        <v>28.120000000000005</v>
      </c>
      <c r="G47" s="51">
        <v>75.0151</v>
      </c>
      <c r="H47" s="21">
        <f>G47-D47</f>
        <v>28.0527</v>
      </c>
      <c r="I47" s="16">
        <f>((E47-G47)/(E47-D47))*100</f>
        <v>0.23933143669986845</v>
      </c>
      <c r="L47" s="24" t="s">
        <v>10</v>
      </c>
      <c r="M47" s="25"/>
      <c r="N47" s="25"/>
      <c r="O47" s="25"/>
      <c r="P47" s="26"/>
    </row>
    <row r="48" spans="3:16" ht="15">
      <c r="C48" s="58">
        <v>2</v>
      </c>
      <c r="D48" s="29">
        <v>50.0664</v>
      </c>
      <c r="E48" s="28">
        <v>81.7611</v>
      </c>
      <c r="F48" s="29">
        <f aca="true" t="shared" si="12" ref="F48:F54">E48-D48</f>
        <v>31.694699999999997</v>
      </c>
      <c r="G48" s="52">
        <v>81.676</v>
      </c>
      <c r="H48" s="28">
        <f aca="true" t="shared" si="13" ref="H48:H54">G48-D48</f>
        <v>31.6096</v>
      </c>
      <c r="I48" s="16">
        <f aca="true" t="shared" si="14" ref="I48:I54">((E48-G48)/(E48-D48))*100</f>
        <v>0.26849914970009836</v>
      </c>
      <c r="L48" s="24" t="s">
        <v>11</v>
      </c>
      <c r="M48" s="25"/>
      <c r="N48" s="25"/>
      <c r="O48" s="25"/>
      <c r="P48" s="26"/>
    </row>
    <row r="49" spans="3:16" ht="15">
      <c r="C49" s="58">
        <v>3</v>
      </c>
      <c r="D49" s="29">
        <v>48.0655</v>
      </c>
      <c r="E49" s="8">
        <v>83.2292</v>
      </c>
      <c r="F49" s="29">
        <f t="shared" si="12"/>
        <v>35.163700000000006</v>
      </c>
      <c r="G49" s="52">
        <v>83.1499</v>
      </c>
      <c r="H49" s="28">
        <f t="shared" si="13"/>
        <v>35.0844</v>
      </c>
      <c r="I49" s="16">
        <f t="shared" si="14"/>
        <v>0.22551665495952775</v>
      </c>
      <c r="L49" s="24" t="s">
        <v>12</v>
      </c>
      <c r="M49" s="25"/>
      <c r="N49" s="25"/>
      <c r="O49" s="25"/>
      <c r="P49" s="26"/>
    </row>
    <row r="50" spans="3:16" ht="15">
      <c r="C50" s="29">
        <v>4</v>
      </c>
      <c r="D50" s="29">
        <v>45.0198</v>
      </c>
      <c r="E50" s="28">
        <v>76.9838</v>
      </c>
      <c r="F50" s="29">
        <f t="shared" si="12"/>
        <v>31.964000000000006</v>
      </c>
      <c r="G50" s="52">
        <v>76.925</v>
      </c>
      <c r="H50" s="28">
        <f t="shared" si="13"/>
        <v>31.9052</v>
      </c>
      <c r="I50" s="16">
        <f t="shared" si="14"/>
        <v>0.18395695157053266</v>
      </c>
      <c r="L50" s="24" t="s">
        <v>13</v>
      </c>
      <c r="M50" s="25"/>
      <c r="N50" s="25"/>
      <c r="O50" s="25"/>
      <c r="P50" s="26"/>
    </row>
    <row r="51" spans="3:16" ht="15">
      <c r="C51" s="29">
        <v>5</v>
      </c>
      <c r="D51" s="29">
        <v>44.2997</v>
      </c>
      <c r="E51" s="28">
        <v>74.1859</v>
      </c>
      <c r="F51" s="29">
        <f t="shared" si="12"/>
        <v>29.886200000000002</v>
      </c>
      <c r="G51" s="52">
        <v>74.1619</v>
      </c>
      <c r="H51" s="28">
        <f t="shared" si="13"/>
        <v>29.8622</v>
      </c>
      <c r="I51" s="16">
        <f t="shared" si="14"/>
        <v>0.08030462220021585</v>
      </c>
      <c r="L51" s="38" t="s">
        <v>14</v>
      </c>
      <c r="M51" s="39"/>
      <c r="N51" s="39"/>
      <c r="O51" s="39"/>
      <c r="P51" s="40"/>
    </row>
    <row r="52" spans="3:9" ht="15">
      <c r="C52" s="29">
        <v>6</v>
      </c>
      <c r="D52" s="29">
        <v>50.8639</v>
      </c>
      <c r="E52" s="28">
        <v>82.2299</v>
      </c>
      <c r="F52" s="29">
        <f t="shared" si="12"/>
        <v>31.366</v>
      </c>
      <c r="G52" s="52">
        <v>82.1755</v>
      </c>
      <c r="H52" s="28">
        <f t="shared" si="13"/>
        <v>31.3116</v>
      </c>
      <c r="I52" s="16">
        <f t="shared" si="14"/>
        <v>0.17343620480775718</v>
      </c>
    </row>
    <row r="53" spans="3:13" ht="15">
      <c r="C53" s="58">
        <v>7</v>
      </c>
      <c r="D53" s="29">
        <v>45.1484</v>
      </c>
      <c r="E53" s="28">
        <v>76.7881</v>
      </c>
      <c r="F53" s="29">
        <f t="shared" si="12"/>
        <v>31.639699999999998</v>
      </c>
      <c r="G53" s="52">
        <v>76.681</v>
      </c>
      <c r="H53" s="28">
        <f t="shared" si="13"/>
        <v>31.532599999999995</v>
      </c>
      <c r="I53" s="16">
        <f t="shared" si="14"/>
        <v>0.3384987847546046</v>
      </c>
      <c r="L53" s="110" t="s">
        <v>27</v>
      </c>
      <c r="M53" s="110"/>
    </row>
    <row r="54" spans="3:9" ht="15">
      <c r="C54" s="34">
        <v>8</v>
      </c>
      <c r="D54" s="34">
        <v>49.8555</v>
      </c>
      <c r="E54" s="33">
        <v>82.7638</v>
      </c>
      <c r="F54" s="34">
        <f t="shared" si="12"/>
        <v>32.908300000000004</v>
      </c>
      <c r="G54" s="53">
        <v>82.7066</v>
      </c>
      <c r="H54" s="33">
        <f t="shared" si="13"/>
        <v>32.851099999999995</v>
      </c>
      <c r="I54" s="16">
        <f t="shared" si="14"/>
        <v>0.17381633204999586</v>
      </c>
    </row>
    <row r="55" spans="3:9" ht="15">
      <c r="C55" s="37" t="s">
        <v>16</v>
      </c>
      <c r="D55" s="37">
        <f>SUM(D47:D54)</f>
        <v>380.28159999999997</v>
      </c>
      <c r="E55" s="37">
        <f aca="true" t="shared" si="15" ref="E55:I55">SUM(E47:E54)</f>
        <v>633.0242000000001</v>
      </c>
      <c r="F55" s="37">
        <f t="shared" si="15"/>
        <v>252.74260000000004</v>
      </c>
      <c r="G55" s="37">
        <f t="shared" si="15"/>
        <v>632.491</v>
      </c>
      <c r="H55" s="37">
        <f t="shared" si="15"/>
        <v>252.20940000000002</v>
      </c>
      <c r="I55" s="37">
        <f t="shared" si="15"/>
        <v>1.6833601367426008</v>
      </c>
    </row>
    <row r="58" spans="2:3" ht="15">
      <c r="B58" s="108" t="s">
        <v>28</v>
      </c>
      <c r="C58" s="108"/>
    </row>
    <row r="59" spans="2:3" ht="15">
      <c r="B59" s="109" t="s">
        <v>26</v>
      </c>
      <c r="C59" s="109"/>
    </row>
    <row r="60" spans="3:16" ht="15">
      <c r="C60" s="9" t="s">
        <v>2</v>
      </c>
      <c r="D60" s="9" t="s">
        <v>3</v>
      </c>
      <c r="E60" s="9" t="s">
        <v>4</v>
      </c>
      <c r="F60" s="16" t="s">
        <v>5</v>
      </c>
      <c r="G60" s="9" t="s">
        <v>6</v>
      </c>
      <c r="H60" s="16" t="s">
        <v>7</v>
      </c>
      <c r="I60" s="16" t="s">
        <v>19</v>
      </c>
      <c r="L60" s="17" t="s">
        <v>9</v>
      </c>
      <c r="M60" s="18"/>
      <c r="N60" s="18"/>
      <c r="O60" s="18"/>
      <c r="P60" s="19"/>
    </row>
    <row r="61" spans="3:16" ht="15">
      <c r="C61" s="57">
        <v>1</v>
      </c>
      <c r="D61" s="16">
        <v>45.0478</v>
      </c>
      <c r="E61" s="21">
        <v>91.2139</v>
      </c>
      <c r="F61" s="16">
        <f>E61-D61</f>
        <v>46.16609999999999</v>
      </c>
      <c r="G61" s="51">
        <v>78.8497</v>
      </c>
      <c r="H61" s="21">
        <f>G61-D61</f>
        <v>33.801899999999996</v>
      </c>
      <c r="I61" s="16">
        <f>(H61/F61)*100</f>
        <v>73.21801061818087</v>
      </c>
      <c r="L61" s="24" t="s">
        <v>10</v>
      </c>
      <c r="M61" s="25"/>
      <c r="N61" s="25"/>
      <c r="O61" s="25"/>
      <c r="P61" s="26"/>
    </row>
    <row r="62" spans="3:16" ht="15">
      <c r="C62" s="58">
        <v>2</v>
      </c>
      <c r="D62" s="29">
        <v>48.0126</v>
      </c>
      <c r="E62" s="28">
        <v>91.0859</v>
      </c>
      <c r="F62" s="29">
        <f aca="true" t="shared" si="16" ref="F62:F67">E62-D62</f>
        <v>43.073299999999996</v>
      </c>
      <c r="G62" s="52">
        <v>78.1786</v>
      </c>
      <c r="H62" s="28">
        <f aca="true" t="shared" si="17" ref="H62:H67">G62-D62</f>
        <v>30.166000000000004</v>
      </c>
      <c r="I62" s="16">
        <f aca="true" t="shared" si="18" ref="I62:I67">(H62/F62)*100</f>
        <v>70.03410465415932</v>
      </c>
      <c r="L62" s="24" t="s">
        <v>11</v>
      </c>
      <c r="M62" s="25"/>
      <c r="N62" s="25"/>
      <c r="O62" s="25"/>
      <c r="P62" s="26"/>
    </row>
    <row r="63" spans="3:16" ht="15">
      <c r="C63" s="58">
        <v>3</v>
      </c>
      <c r="D63" s="29">
        <v>47.5172</v>
      </c>
      <c r="E63" s="8">
        <v>91.6544</v>
      </c>
      <c r="F63" s="29">
        <f t="shared" si="16"/>
        <v>44.13719999999999</v>
      </c>
      <c r="G63" s="52">
        <v>79.5425</v>
      </c>
      <c r="H63" s="28">
        <f t="shared" si="17"/>
        <v>32.0253</v>
      </c>
      <c r="I63" s="16">
        <f t="shared" si="18"/>
        <v>72.55852206302168</v>
      </c>
      <c r="L63" s="24" t="s">
        <v>12</v>
      </c>
      <c r="M63" s="25"/>
      <c r="N63" s="25"/>
      <c r="O63" s="25"/>
      <c r="P63" s="26"/>
    </row>
    <row r="64" spans="3:16" ht="15">
      <c r="C64" s="29">
        <v>4</v>
      </c>
      <c r="D64" s="29">
        <v>47.083</v>
      </c>
      <c r="E64" s="28">
        <v>90.9881</v>
      </c>
      <c r="F64" s="29">
        <f t="shared" si="16"/>
        <v>43.905100000000004</v>
      </c>
      <c r="G64" s="52">
        <v>78.007</v>
      </c>
      <c r="H64" s="28">
        <f t="shared" si="17"/>
        <v>30.924000000000007</v>
      </c>
      <c r="I64" s="16">
        <f t="shared" si="18"/>
        <v>70.43373093330844</v>
      </c>
      <c r="L64" s="24" t="s">
        <v>13</v>
      </c>
      <c r="M64" s="25"/>
      <c r="N64" s="25"/>
      <c r="O64" s="25"/>
      <c r="P64" s="26"/>
    </row>
    <row r="65" spans="3:16" ht="15">
      <c r="C65" s="29">
        <v>5</v>
      </c>
      <c r="D65" s="29">
        <v>45.1318</v>
      </c>
      <c r="E65" s="28">
        <v>90.1849</v>
      </c>
      <c r="F65" s="29">
        <f t="shared" si="16"/>
        <v>45.0531</v>
      </c>
      <c r="G65" s="52">
        <v>78.7127</v>
      </c>
      <c r="H65" s="28">
        <f t="shared" si="17"/>
        <v>33.5809</v>
      </c>
      <c r="I65" s="16">
        <f t="shared" si="18"/>
        <v>74.53626942430155</v>
      </c>
      <c r="L65" s="38" t="s">
        <v>14</v>
      </c>
      <c r="M65" s="39"/>
      <c r="N65" s="39"/>
      <c r="O65" s="39"/>
      <c r="P65" s="40"/>
    </row>
    <row r="66" spans="3:9" ht="15">
      <c r="C66" s="29">
        <v>6</v>
      </c>
      <c r="D66" s="29">
        <v>47.0202</v>
      </c>
      <c r="E66" s="28">
        <v>92.4064</v>
      </c>
      <c r="F66" s="29">
        <f t="shared" si="16"/>
        <v>45.3862</v>
      </c>
      <c r="G66" s="52">
        <v>81.7736</v>
      </c>
      <c r="H66" s="28">
        <f t="shared" si="17"/>
        <v>34.7534</v>
      </c>
      <c r="I66" s="16">
        <f t="shared" si="18"/>
        <v>76.57261458328742</v>
      </c>
    </row>
    <row r="67" spans="3:13" ht="15">
      <c r="C67" s="60">
        <v>7</v>
      </c>
      <c r="D67" s="34">
        <v>48.0695</v>
      </c>
      <c r="E67" s="33">
        <v>91.6177</v>
      </c>
      <c r="F67" s="34">
        <f t="shared" si="16"/>
        <v>43.5482</v>
      </c>
      <c r="G67" s="53">
        <v>81.6845</v>
      </c>
      <c r="H67" s="33">
        <f t="shared" si="17"/>
        <v>33.615</v>
      </c>
      <c r="I67" s="16">
        <f t="shared" si="18"/>
        <v>77.1903316325359</v>
      </c>
      <c r="L67" s="110" t="s">
        <v>29</v>
      </c>
      <c r="M67" s="110"/>
    </row>
    <row r="68" spans="3:9" ht="15">
      <c r="C68" s="37" t="s">
        <v>16</v>
      </c>
      <c r="D68" s="37">
        <f aca="true" t="shared" si="19" ref="D68:I68">SUM(D61:D67)</f>
        <v>327.88210000000004</v>
      </c>
      <c r="E68" s="37">
        <f t="shared" si="19"/>
        <v>639.1513</v>
      </c>
      <c r="F68" s="37">
        <f t="shared" si="19"/>
        <v>311.2692</v>
      </c>
      <c r="G68" s="37">
        <f t="shared" si="19"/>
        <v>556.7486</v>
      </c>
      <c r="H68" s="37">
        <f t="shared" si="19"/>
        <v>228.86650000000003</v>
      </c>
      <c r="I68" s="37">
        <f t="shared" si="19"/>
        <v>514.5435839087952</v>
      </c>
    </row>
    <row r="71" spans="2:4" ht="15">
      <c r="B71" s="41" t="s">
        <v>30</v>
      </c>
      <c r="C71" s="41"/>
      <c r="D71" s="61"/>
    </row>
    <row r="72" spans="2:3" ht="15">
      <c r="B72" s="109" t="s">
        <v>31</v>
      </c>
      <c r="C72" s="109"/>
    </row>
    <row r="73" spans="3:16" ht="15">
      <c r="C73" s="9" t="s">
        <v>2</v>
      </c>
      <c r="D73" s="9" t="s">
        <v>3</v>
      </c>
      <c r="E73" s="9" t="s">
        <v>4</v>
      </c>
      <c r="F73" s="16" t="s">
        <v>5</v>
      </c>
      <c r="G73" s="9" t="s">
        <v>6</v>
      </c>
      <c r="H73" s="16" t="s">
        <v>7</v>
      </c>
      <c r="I73" s="16" t="s">
        <v>8</v>
      </c>
      <c r="L73" s="17" t="s">
        <v>9</v>
      </c>
      <c r="M73" s="18"/>
      <c r="N73" s="18"/>
      <c r="O73" s="18"/>
      <c r="P73" s="19"/>
    </row>
    <row r="74" spans="3:16" ht="15">
      <c r="C74" s="57">
        <v>1</v>
      </c>
      <c r="D74" s="16">
        <v>45.0478</v>
      </c>
      <c r="E74" s="21">
        <v>79.0281</v>
      </c>
      <c r="F74" s="16">
        <f>E74-D74</f>
        <v>33.98029999999999</v>
      </c>
      <c r="G74" s="51">
        <v>79.0061</v>
      </c>
      <c r="H74" s="21">
        <f>G74-D74</f>
        <v>33.9583</v>
      </c>
      <c r="I74" s="16">
        <f>((E74-G74)/(E74-D74))*100</f>
        <v>0.06474339543791952</v>
      </c>
      <c r="L74" s="24" t="s">
        <v>10</v>
      </c>
      <c r="M74" s="25"/>
      <c r="N74" s="25"/>
      <c r="O74" s="25"/>
      <c r="P74" s="26"/>
    </row>
    <row r="75" spans="3:16" ht="15">
      <c r="C75" s="58">
        <v>2</v>
      </c>
      <c r="D75" s="29">
        <v>48.0126</v>
      </c>
      <c r="E75" s="28">
        <v>78.3124</v>
      </c>
      <c r="F75" s="29">
        <f aca="true" t="shared" si="20" ref="F75:F80">E75-D75</f>
        <v>30.299799999999998</v>
      </c>
      <c r="G75" s="52">
        <v>78.2705</v>
      </c>
      <c r="H75" s="28">
        <f aca="true" t="shared" si="21" ref="H75:H80">G75-D75</f>
        <v>30.2579</v>
      </c>
      <c r="I75" s="16">
        <f aca="true" t="shared" si="22" ref="I75:I80">((E75-G75)/(E75-D75))*100</f>
        <v>0.13828474115340125</v>
      </c>
      <c r="L75" s="24" t="s">
        <v>11</v>
      </c>
      <c r="M75" s="25"/>
      <c r="N75" s="25"/>
      <c r="O75" s="25"/>
      <c r="P75" s="26"/>
    </row>
    <row r="76" spans="3:16" ht="15">
      <c r="C76" s="58">
        <v>3</v>
      </c>
      <c r="D76" s="29">
        <v>47.5172</v>
      </c>
      <c r="E76" s="8">
        <v>79.7104</v>
      </c>
      <c r="F76" s="29">
        <f t="shared" si="20"/>
        <v>32.193200000000004</v>
      </c>
      <c r="G76" s="52">
        <v>79.6209</v>
      </c>
      <c r="H76" s="28">
        <f t="shared" si="21"/>
        <v>32.1037</v>
      </c>
      <c r="I76" s="16">
        <f t="shared" si="22"/>
        <v>0.27800902053850196</v>
      </c>
      <c r="L76" s="24" t="s">
        <v>12</v>
      </c>
      <c r="M76" s="25"/>
      <c r="N76" s="25"/>
      <c r="O76" s="25"/>
      <c r="P76" s="26"/>
    </row>
    <row r="77" spans="3:16" ht="15">
      <c r="C77" s="29">
        <v>4</v>
      </c>
      <c r="D77" s="29">
        <v>47.083</v>
      </c>
      <c r="E77" s="28">
        <v>78.1561</v>
      </c>
      <c r="F77" s="29">
        <f t="shared" si="20"/>
        <v>31.073099999999997</v>
      </c>
      <c r="G77" s="52">
        <v>78.1202</v>
      </c>
      <c r="H77" s="28">
        <f t="shared" si="21"/>
        <v>31.0372</v>
      </c>
      <c r="I77" s="16">
        <f t="shared" si="22"/>
        <v>0.1155340149518331</v>
      </c>
      <c r="L77" s="24" t="s">
        <v>13</v>
      </c>
      <c r="M77" s="25"/>
      <c r="N77" s="25"/>
      <c r="O77" s="25"/>
      <c r="P77" s="26"/>
    </row>
    <row r="78" spans="3:16" ht="15">
      <c r="C78" s="29">
        <v>5</v>
      </c>
      <c r="D78" s="29">
        <v>45.1318</v>
      </c>
      <c r="E78" s="28">
        <v>78.8787</v>
      </c>
      <c r="F78" s="29">
        <f t="shared" si="20"/>
        <v>33.7469</v>
      </c>
      <c r="G78" s="52">
        <v>78.784</v>
      </c>
      <c r="H78" s="28">
        <f t="shared" si="21"/>
        <v>33.65220000000001</v>
      </c>
      <c r="I78" s="16">
        <f t="shared" si="22"/>
        <v>0.2806183679093159</v>
      </c>
      <c r="L78" s="38" t="s">
        <v>14</v>
      </c>
      <c r="M78" s="39"/>
      <c r="N78" s="39"/>
      <c r="O78" s="39"/>
      <c r="P78" s="40"/>
    </row>
    <row r="79" spans="3:9" ht="15">
      <c r="C79" s="29">
        <v>6</v>
      </c>
      <c r="D79" s="29">
        <v>47.0202</v>
      </c>
      <c r="E79" s="28">
        <v>81.9623</v>
      </c>
      <c r="F79" s="29">
        <f t="shared" si="20"/>
        <v>34.942099999999996</v>
      </c>
      <c r="G79" s="52">
        <v>81.8821</v>
      </c>
      <c r="H79" s="28">
        <f t="shared" si="21"/>
        <v>34.86189999999999</v>
      </c>
      <c r="I79" s="16">
        <f t="shared" si="22"/>
        <v>0.22952255302344432</v>
      </c>
    </row>
    <row r="80" spans="3:13" ht="15">
      <c r="C80" s="60">
        <v>7</v>
      </c>
      <c r="D80" s="34">
        <v>48.0695</v>
      </c>
      <c r="E80" s="33">
        <v>81.8236</v>
      </c>
      <c r="F80" s="34">
        <f t="shared" si="20"/>
        <v>33.7541</v>
      </c>
      <c r="G80" s="53">
        <v>81.7602</v>
      </c>
      <c r="H80" s="33">
        <f t="shared" si="21"/>
        <v>33.6907</v>
      </c>
      <c r="I80" s="16">
        <f t="shared" si="22"/>
        <v>0.18782903410252816</v>
      </c>
      <c r="L80" s="110" t="s">
        <v>27</v>
      </c>
      <c r="M80" s="110"/>
    </row>
    <row r="81" spans="3:9" ht="15">
      <c r="C81" s="37" t="s">
        <v>16</v>
      </c>
      <c r="D81" s="37">
        <f aca="true" t="shared" si="23" ref="D81:I81">SUM(D74:D80)</f>
        <v>327.88210000000004</v>
      </c>
      <c r="E81" s="37">
        <f t="shared" si="23"/>
        <v>557.8716</v>
      </c>
      <c r="F81" s="37">
        <f t="shared" si="23"/>
        <v>229.98949999999996</v>
      </c>
      <c r="G81" s="37">
        <f t="shared" si="23"/>
        <v>557.444</v>
      </c>
      <c r="H81" s="37">
        <f t="shared" si="23"/>
        <v>229.56189999999998</v>
      </c>
      <c r="I81" s="37">
        <f t="shared" si="23"/>
        <v>1.2945411271169442</v>
      </c>
    </row>
    <row r="84" spans="2:3" ht="15">
      <c r="B84" s="41" t="s">
        <v>32</v>
      </c>
      <c r="C84" s="61"/>
    </row>
    <row r="85" spans="2:3" ht="15">
      <c r="B85" s="109" t="s">
        <v>31</v>
      </c>
      <c r="C85" s="109"/>
    </row>
    <row r="86" spans="3:16" ht="15">
      <c r="C86" s="9" t="s">
        <v>2</v>
      </c>
      <c r="D86" s="9" t="s">
        <v>3</v>
      </c>
      <c r="E86" s="9" t="s">
        <v>4</v>
      </c>
      <c r="F86" s="16" t="s">
        <v>5</v>
      </c>
      <c r="G86" s="9" t="s">
        <v>6</v>
      </c>
      <c r="H86" s="16" t="s">
        <v>7</v>
      </c>
      <c r="I86" s="16" t="s">
        <v>19</v>
      </c>
      <c r="L86" s="17" t="s">
        <v>9</v>
      </c>
      <c r="M86" s="18"/>
      <c r="N86" s="18"/>
      <c r="O86" s="18"/>
      <c r="P86" s="19"/>
    </row>
    <row r="87" spans="3:16" ht="15">
      <c r="C87" s="57">
        <v>1</v>
      </c>
      <c r="D87" s="16">
        <v>45.0177</v>
      </c>
      <c r="E87" s="21">
        <v>90.1898</v>
      </c>
      <c r="F87" s="16">
        <f>E87-D87</f>
        <v>45.17210000000001</v>
      </c>
      <c r="G87" s="51">
        <v>76.6424</v>
      </c>
      <c r="H87" s="21">
        <f>G87-D87</f>
        <v>31.624699999999997</v>
      </c>
      <c r="I87" s="16">
        <f>(H87/F87)*100</f>
        <v>70.00936418718632</v>
      </c>
      <c r="L87" s="24" t="s">
        <v>10</v>
      </c>
      <c r="M87" s="25"/>
      <c r="N87" s="25"/>
      <c r="O87" s="25"/>
      <c r="P87" s="26"/>
    </row>
    <row r="88" spans="3:16" ht="15">
      <c r="C88" s="58">
        <v>2</v>
      </c>
      <c r="D88" s="29">
        <v>46.9385</v>
      </c>
      <c r="E88" s="28">
        <v>91.0171</v>
      </c>
      <c r="F88" s="29">
        <f aca="true" t="shared" si="24" ref="F88:F94">E88-D88</f>
        <v>44.0786</v>
      </c>
      <c r="G88" s="52">
        <v>76.5643</v>
      </c>
      <c r="H88" s="28">
        <f aca="true" t="shared" si="25" ref="H88:H94">G88-D88</f>
        <v>29.625800000000005</v>
      </c>
      <c r="I88" s="16">
        <f aca="true" t="shared" si="26" ref="I88:I94">(H88/F88)*100</f>
        <v>67.21129981442243</v>
      </c>
      <c r="L88" s="24" t="s">
        <v>11</v>
      </c>
      <c r="M88" s="25"/>
      <c r="N88" s="25"/>
      <c r="O88" s="25"/>
      <c r="P88" s="26"/>
    </row>
    <row r="89" spans="3:16" ht="15">
      <c r="C89" s="58">
        <v>3</v>
      </c>
      <c r="D89" s="29">
        <v>45.5158</v>
      </c>
      <c r="E89" s="8">
        <v>90.9924</v>
      </c>
      <c r="F89" s="29">
        <f t="shared" si="24"/>
        <v>45.476600000000005</v>
      </c>
      <c r="G89" s="52">
        <v>78.379</v>
      </c>
      <c r="H89" s="28">
        <f t="shared" si="25"/>
        <v>32.863200000000006</v>
      </c>
      <c r="I89" s="16">
        <f t="shared" si="26"/>
        <v>72.26397751810822</v>
      </c>
      <c r="L89" s="24" t="s">
        <v>12</v>
      </c>
      <c r="M89" s="25"/>
      <c r="N89" s="25"/>
      <c r="O89" s="25"/>
      <c r="P89" s="26"/>
    </row>
    <row r="90" spans="3:16" ht="15">
      <c r="C90" s="29">
        <v>4</v>
      </c>
      <c r="D90" s="29">
        <v>50.0708</v>
      </c>
      <c r="E90" s="28">
        <v>94.1441</v>
      </c>
      <c r="F90" s="29">
        <f t="shared" si="24"/>
        <v>44.073299999999996</v>
      </c>
      <c r="G90" s="52">
        <v>80.274</v>
      </c>
      <c r="H90" s="28">
        <f t="shared" si="25"/>
        <v>30.203200000000002</v>
      </c>
      <c r="I90" s="16">
        <f t="shared" si="26"/>
        <v>68.52947249241606</v>
      </c>
      <c r="L90" s="24" t="s">
        <v>13</v>
      </c>
      <c r="M90" s="25"/>
      <c r="N90" s="25"/>
      <c r="O90" s="25"/>
      <c r="P90" s="26"/>
    </row>
    <row r="91" spans="3:16" ht="15">
      <c r="C91" s="29">
        <v>5</v>
      </c>
      <c r="D91" s="29">
        <v>44.3014</v>
      </c>
      <c r="E91" s="28">
        <v>91.2044</v>
      </c>
      <c r="F91" s="29">
        <f t="shared" si="24"/>
        <v>46.903000000000006</v>
      </c>
      <c r="G91" s="52">
        <v>77.2573</v>
      </c>
      <c r="H91" s="28">
        <f t="shared" si="25"/>
        <v>32.9559</v>
      </c>
      <c r="I91" s="16">
        <f t="shared" si="26"/>
        <v>70.26394900112997</v>
      </c>
      <c r="L91" s="38" t="s">
        <v>20</v>
      </c>
      <c r="M91" s="39"/>
      <c r="N91" s="39"/>
      <c r="O91" s="39"/>
      <c r="P91" s="40"/>
    </row>
    <row r="92" spans="3:9" ht="15">
      <c r="C92" s="29">
        <v>6</v>
      </c>
      <c r="D92" s="29">
        <v>49.8564</v>
      </c>
      <c r="E92" s="28">
        <v>90.4671</v>
      </c>
      <c r="F92" s="29">
        <f t="shared" si="24"/>
        <v>40.6107</v>
      </c>
      <c r="G92" s="52">
        <v>78.8439</v>
      </c>
      <c r="H92" s="28">
        <f t="shared" si="25"/>
        <v>28.987500000000004</v>
      </c>
      <c r="I92" s="16">
        <f t="shared" si="26"/>
        <v>71.37897155183241</v>
      </c>
    </row>
    <row r="93" spans="3:13" ht="15">
      <c r="C93" s="58">
        <v>7</v>
      </c>
      <c r="D93" s="29">
        <v>48.0666</v>
      </c>
      <c r="E93" s="28">
        <v>92.4358</v>
      </c>
      <c r="F93" s="29">
        <f t="shared" si="24"/>
        <v>44.3692</v>
      </c>
      <c r="G93" s="52">
        <v>80.6908</v>
      </c>
      <c r="H93" s="28">
        <f t="shared" si="25"/>
        <v>32.624199999999995</v>
      </c>
      <c r="I93" s="16">
        <f t="shared" si="26"/>
        <v>73.52893448608494</v>
      </c>
      <c r="L93" s="110" t="s">
        <v>29</v>
      </c>
      <c r="M93" s="110"/>
    </row>
    <row r="94" spans="3:9" ht="15">
      <c r="C94" s="34">
        <v>8</v>
      </c>
      <c r="D94" s="34">
        <v>50.8671</v>
      </c>
      <c r="E94" s="33">
        <v>91.6962</v>
      </c>
      <c r="F94" s="34">
        <f t="shared" si="24"/>
        <v>40.829100000000004</v>
      </c>
      <c r="G94" s="53">
        <v>80.9508</v>
      </c>
      <c r="H94" s="33">
        <f t="shared" si="25"/>
        <v>30.0837</v>
      </c>
      <c r="I94" s="16">
        <f t="shared" si="26"/>
        <v>73.68200621615465</v>
      </c>
    </row>
    <row r="95" spans="3:9" ht="15">
      <c r="C95" s="37" t="s">
        <v>16</v>
      </c>
      <c r="D95" s="37">
        <f>SUM(D87:D94)</f>
        <v>380.63429999999994</v>
      </c>
      <c r="E95" s="37">
        <f aca="true" t="shared" si="27" ref="E95:I95">SUM(E87:E94)</f>
        <v>732.1469</v>
      </c>
      <c r="F95" s="37">
        <f t="shared" si="27"/>
        <v>351.51259999999996</v>
      </c>
      <c r="G95" s="37">
        <f t="shared" si="27"/>
        <v>629.6025</v>
      </c>
      <c r="H95" s="37">
        <f t="shared" si="27"/>
        <v>248.96820000000002</v>
      </c>
      <c r="I95" s="37">
        <f t="shared" si="27"/>
        <v>566.867975267335</v>
      </c>
    </row>
    <row r="101" spans="2:4" ht="15">
      <c r="B101" s="108" t="s">
        <v>33</v>
      </c>
      <c r="C101" s="108"/>
      <c r="D101" s="108"/>
    </row>
    <row r="102" spans="2:16" ht="15">
      <c r="B102" s="109" t="s">
        <v>34</v>
      </c>
      <c r="C102" s="109"/>
      <c r="L102" s="17" t="s">
        <v>9</v>
      </c>
      <c r="M102" s="18"/>
      <c r="N102" s="18"/>
      <c r="O102" s="18"/>
      <c r="P102" s="19"/>
    </row>
    <row r="103" spans="3:16" ht="15">
      <c r="C103" s="9" t="s">
        <v>2</v>
      </c>
      <c r="D103" s="9" t="s">
        <v>3</v>
      </c>
      <c r="E103" s="9" t="s">
        <v>4</v>
      </c>
      <c r="F103" s="16" t="s">
        <v>5</v>
      </c>
      <c r="G103" s="9" t="s">
        <v>6</v>
      </c>
      <c r="H103" s="16" t="s">
        <v>7</v>
      </c>
      <c r="I103" s="16" t="s">
        <v>8</v>
      </c>
      <c r="L103" s="24" t="s">
        <v>10</v>
      </c>
      <c r="M103" s="25"/>
      <c r="N103" s="25"/>
      <c r="O103" s="25"/>
      <c r="P103" s="26"/>
    </row>
    <row r="104" spans="3:16" ht="15">
      <c r="C104" s="57">
        <v>1</v>
      </c>
      <c r="D104" s="16">
        <v>45.0177</v>
      </c>
      <c r="E104" s="21">
        <v>76.9136</v>
      </c>
      <c r="F104" s="16">
        <f>E104-D104</f>
        <v>31.895900000000005</v>
      </c>
      <c r="G104" s="23">
        <v>76.9086</v>
      </c>
      <c r="H104" s="21">
        <f>G104-D104</f>
        <v>31.89090000000001</v>
      </c>
      <c r="I104" s="16">
        <f>((E104-G104)/(E104-D104))*100</f>
        <v>0.015675995974389973</v>
      </c>
      <c r="L104" s="24" t="s">
        <v>11</v>
      </c>
      <c r="M104" s="25"/>
      <c r="N104" s="25"/>
      <c r="O104" s="25"/>
      <c r="P104" s="26"/>
    </row>
    <row r="105" spans="3:16" ht="15">
      <c r="C105" s="58">
        <v>2</v>
      </c>
      <c r="D105" s="29">
        <v>46.9385</v>
      </c>
      <c r="E105" s="28">
        <v>76.8375</v>
      </c>
      <c r="F105" s="29">
        <f aca="true" t="shared" si="28" ref="F105:F111">E105-D105</f>
        <v>29.899000000000008</v>
      </c>
      <c r="G105" s="31">
        <v>76.8147</v>
      </c>
      <c r="H105" s="28">
        <f aca="true" t="shared" si="29" ref="H105:H111">G105-D105</f>
        <v>29.876200000000004</v>
      </c>
      <c r="I105" s="16">
        <f aca="true" t="shared" si="30" ref="I105:I111">((E105-G105)/(E105-D105))*100</f>
        <v>0.07625673099436</v>
      </c>
      <c r="L105" s="24" t="s">
        <v>12</v>
      </c>
      <c r="M105" s="25"/>
      <c r="N105" s="25"/>
      <c r="O105" s="25"/>
      <c r="P105" s="26"/>
    </row>
    <row r="106" spans="3:16" ht="15">
      <c r="C106" s="58">
        <v>3</v>
      </c>
      <c r="D106" s="29">
        <v>45.5158</v>
      </c>
      <c r="E106" s="8">
        <v>78.7083</v>
      </c>
      <c r="F106" s="29">
        <f t="shared" si="28"/>
        <v>33.192499999999995</v>
      </c>
      <c r="G106" s="31">
        <v>78.6722</v>
      </c>
      <c r="H106" s="28">
        <f t="shared" si="29"/>
        <v>33.156400000000005</v>
      </c>
      <c r="I106" s="16">
        <f t="shared" si="30"/>
        <v>0.10875950892518033</v>
      </c>
      <c r="L106" s="24" t="s">
        <v>13</v>
      </c>
      <c r="M106" s="25"/>
      <c r="N106" s="25"/>
      <c r="O106" s="25"/>
      <c r="P106" s="26"/>
    </row>
    <row r="107" spans="3:16" ht="15">
      <c r="C107" s="29">
        <v>4</v>
      </c>
      <c r="D107" s="29">
        <v>50.0708</v>
      </c>
      <c r="E107" s="28">
        <v>80.5177</v>
      </c>
      <c r="F107" s="29">
        <f t="shared" si="28"/>
        <v>30.446900000000007</v>
      </c>
      <c r="G107" s="31">
        <v>80.4966</v>
      </c>
      <c r="H107" s="28">
        <f t="shared" si="29"/>
        <v>30.425800000000002</v>
      </c>
      <c r="I107" s="16">
        <f t="shared" si="30"/>
        <v>0.06930097973850904</v>
      </c>
      <c r="L107" s="38" t="s">
        <v>14</v>
      </c>
      <c r="M107" s="39"/>
      <c r="N107" s="39"/>
      <c r="O107" s="39"/>
      <c r="P107" s="40"/>
    </row>
    <row r="108" spans="3:9" ht="15">
      <c r="C108" s="29">
        <v>5</v>
      </c>
      <c r="D108" s="29">
        <v>44.3014</v>
      </c>
      <c r="E108" s="28">
        <v>77.514</v>
      </c>
      <c r="F108" s="29">
        <f t="shared" si="28"/>
        <v>33.212599999999995</v>
      </c>
      <c r="G108" s="31">
        <v>77.4895</v>
      </c>
      <c r="H108" s="28">
        <f t="shared" si="29"/>
        <v>33.188100000000006</v>
      </c>
      <c r="I108" s="16">
        <f t="shared" si="30"/>
        <v>0.0737671847431068</v>
      </c>
    </row>
    <row r="109" spans="3:13" ht="15">
      <c r="C109" s="29">
        <v>6</v>
      </c>
      <c r="D109" s="29">
        <v>49.8564</v>
      </c>
      <c r="E109" s="28">
        <v>79.1233</v>
      </c>
      <c r="F109" s="29">
        <f t="shared" si="28"/>
        <v>29.2669</v>
      </c>
      <c r="G109" s="31">
        <v>79.1266</v>
      </c>
      <c r="H109" s="28">
        <f t="shared" si="29"/>
        <v>29.270199999999996</v>
      </c>
      <c r="I109" s="16">
        <f t="shared" si="30"/>
        <v>-0.011275536527598965</v>
      </c>
      <c r="L109" s="62" t="s">
        <v>27</v>
      </c>
      <c r="M109" s="62"/>
    </row>
    <row r="110" spans="3:9" ht="15">
      <c r="C110" s="58">
        <v>7</v>
      </c>
      <c r="D110" s="29">
        <v>48.0666</v>
      </c>
      <c r="E110" s="28">
        <v>80.9442</v>
      </c>
      <c r="F110" s="29">
        <f t="shared" si="28"/>
        <v>32.877599999999994</v>
      </c>
      <c r="G110" s="31">
        <v>80.911</v>
      </c>
      <c r="H110" s="28">
        <f t="shared" si="29"/>
        <v>32.8444</v>
      </c>
      <c r="I110" s="16">
        <f t="shared" si="30"/>
        <v>0.10098060685692899</v>
      </c>
    </row>
    <row r="111" spans="3:9" ht="15">
      <c r="C111" s="34">
        <v>8</v>
      </c>
      <c r="D111" s="34">
        <v>50.8671</v>
      </c>
      <c r="E111" s="33">
        <v>81.1842</v>
      </c>
      <c r="F111" s="34">
        <f t="shared" si="28"/>
        <v>30.317100000000003</v>
      </c>
      <c r="G111" s="36">
        <v>81.1829</v>
      </c>
      <c r="H111" s="33">
        <f t="shared" si="29"/>
        <v>30.315800000000003</v>
      </c>
      <c r="I111" s="16">
        <f t="shared" si="30"/>
        <v>0.004288009077387095</v>
      </c>
    </row>
    <row r="112" spans="3:11" ht="15">
      <c r="C112" s="37" t="s">
        <v>16</v>
      </c>
      <c r="D112" s="37">
        <f>SUM(D104:D111)</f>
        <v>380.63429999999994</v>
      </c>
      <c r="E112" s="37">
        <f aca="true" t="shared" si="31" ref="E112:I112">SUM(E104:E111)</f>
        <v>631.7428000000001</v>
      </c>
      <c r="F112" s="37">
        <f t="shared" si="31"/>
        <v>251.10850000000002</v>
      </c>
      <c r="G112" s="37">
        <f t="shared" si="31"/>
        <v>631.6021000000001</v>
      </c>
      <c r="H112" s="37">
        <f t="shared" si="31"/>
        <v>250.96780000000004</v>
      </c>
      <c r="I112" s="37">
        <f t="shared" si="31"/>
        <v>0.4377534797822633</v>
      </c>
      <c r="K112" s="37"/>
    </row>
    <row r="115" spans="2:3" ht="15">
      <c r="B115" s="41" t="s">
        <v>35</v>
      </c>
      <c r="C115" s="61"/>
    </row>
    <row r="116" spans="2:3" ht="15">
      <c r="B116" s="63" t="s">
        <v>34</v>
      </c>
      <c r="C116" s="63"/>
    </row>
    <row r="117" spans="3:16" ht="15">
      <c r="C117" s="9" t="s">
        <v>2</v>
      </c>
      <c r="D117" s="9" t="s">
        <v>3</v>
      </c>
      <c r="E117" s="9" t="s">
        <v>4</v>
      </c>
      <c r="F117" s="16" t="s">
        <v>5</v>
      </c>
      <c r="G117" s="9" t="s">
        <v>6</v>
      </c>
      <c r="H117" s="16" t="s">
        <v>7</v>
      </c>
      <c r="I117" s="16" t="s">
        <v>19</v>
      </c>
      <c r="L117" s="17" t="s">
        <v>9</v>
      </c>
      <c r="M117" s="18"/>
      <c r="N117" s="18"/>
      <c r="O117" s="18"/>
      <c r="P117" s="19"/>
    </row>
    <row r="118" spans="3:16" ht="15">
      <c r="C118" s="57">
        <v>1</v>
      </c>
      <c r="D118" s="16">
        <v>47.022</v>
      </c>
      <c r="E118" s="21">
        <v>91.6264</v>
      </c>
      <c r="F118" s="16">
        <f>E118-D118</f>
        <v>44.604400000000005</v>
      </c>
      <c r="G118" s="51">
        <v>75.2275</v>
      </c>
      <c r="H118" s="21">
        <f>G118-D118</f>
        <v>28.205500000000008</v>
      </c>
      <c r="I118" s="16">
        <f>(H118/F118)*100</f>
        <v>63.23479298006476</v>
      </c>
      <c r="L118" s="24" t="s">
        <v>10</v>
      </c>
      <c r="M118" s="25"/>
      <c r="N118" s="25"/>
      <c r="O118" s="25"/>
      <c r="P118" s="26"/>
    </row>
    <row r="119" spans="3:16" ht="15">
      <c r="C119" s="58">
        <v>2</v>
      </c>
      <c r="D119" s="29">
        <v>47.0686</v>
      </c>
      <c r="E119" s="28">
        <v>94.925</v>
      </c>
      <c r="F119" s="29">
        <f aca="true" t="shared" si="32" ref="F119:F124">E119-D119</f>
        <v>47.856399999999994</v>
      </c>
      <c r="G119" s="52">
        <v>77.3224</v>
      </c>
      <c r="H119" s="28">
        <f aca="true" t="shared" si="33" ref="H119:H124">G119-D119</f>
        <v>30.2538</v>
      </c>
      <c r="I119" s="16">
        <f aca="true" t="shared" si="34" ref="I119:I124">(H119/F119)*100</f>
        <v>63.2178768148043</v>
      </c>
      <c r="L119" s="24" t="s">
        <v>11</v>
      </c>
      <c r="M119" s="25"/>
      <c r="N119" s="25"/>
      <c r="O119" s="25"/>
      <c r="P119" s="26"/>
    </row>
    <row r="120" spans="3:16" ht="15">
      <c r="C120" s="58">
        <v>3</v>
      </c>
      <c r="D120" s="29">
        <v>48.0145</v>
      </c>
      <c r="E120" s="8">
        <v>91.1952</v>
      </c>
      <c r="F120" s="29">
        <f t="shared" si="32"/>
        <v>43.1807</v>
      </c>
      <c r="G120" s="52">
        <v>78.0885</v>
      </c>
      <c r="H120" s="28">
        <f t="shared" si="33"/>
        <v>30.073999999999998</v>
      </c>
      <c r="I120" s="16">
        <f t="shared" si="34"/>
        <v>69.64685611859001</v>
      </c>
      <c r="L120" s="24" t="s">
        <v>12</v>
      </c>
      <c r="M120" s="25"/>
      <c r="N120" s="25"/>
      <c r="O120" s="25"/>
      <c r="P120" s="26"/>
    </row>
    <row r="121" spans="3:16" ht="15">
      <c r="C121" s="29">
        <v>4</v>
      </c>
      <c r="D121" s="29">
        <v>47.0832</v>
      </c>
      <c r="E121" s="28">
        <v>90.64</v>
      </c>
      <c r="F121" s="29">
        <f t="shared" si="32"/>
        <v>43.5568</v>
      </c>
      <c r="G121" s="52">
        <v>76.7545</v>
      </c>
      <c r="H121" s="28">
        <f t="shared" si="33"/>
        <v>29.671299999999995</v>
      </c>
      <c r="I121" s="16">
        <f t="shared" si="34"/>
        <v>68.12093634059434</v>
      </c>
      <c r="L121" s="24" t="s">
        <v>13</v>
      </c>
      <c r="M121" s="25"/>
      <c r="N121" s="25"/>
      <c r="O121" s="25"/>
      <c r="P121" s="26"/>
    </row>
    <row r="122" spans="3:16" ht="15">
      <c r="C122" s="29">
        <v>5</v>
      </c>
      <c r="D122" s="29">
        <v>45.0506</v>
      </c>
      <c r="E122" s="28">
        <v>83.3826</v>
      </c>
      <c r="F122" s="29">
        <f t="shared" si="32"/>
        <v>38.331999999999994</v>
      </c>
      <c r="G122" s="52">
        <v>72.1393</v>
      </c>
      <c r="H122" s="28">
        <f t="shared" si="33"/>
        <v>27.088700000000003</v>
      </c>
      <c r="I122" s="16">
        <f t="shared" si="34"/>
        <v>70.66863195241575</v>
      </c>
      <c r="L122" s="38" t="s">
        <v>20</v>
      </c>
      <c r="M122" s="39"/>
      <c r="N122" s="39"/>
      <c r="O122" s="39"/>
      <c r="P122" s="40"/>
    </row>
    <row r="123" spans="3:9" ht="15">
      <c r="C123" s="29">
        <v>6</v>
      </c>
      <c r="D123" s="29">
        <v>45.1333</v>
      </c>
      <c r="E123" s="28">
        <v>80.8513</v>
      </c>
      <c r="F123" s="29">
        <f t="shared" si="32"/>
        <v>35.717999999999996</v>
      </c>
      <c r="G123" s="52">
        <v>68.9334</v>
      </c>
      <c r="H123" s="28">
        <f t="shared" si="33"/>
        <v>23.800100000000008</v>
      </c>
      <c r="I123" s="16">
        <f t="shared" si="34"/>
        <v>66.63335013158634</v>
      </c>
    </row>
    <row r="124" spans="3:13" ht="15">
      <c r="C124" s="60">
        <v>7</v>
      </c>
      <c r="D124" s="34">
        <v>47.5195</v>
      </c>
      <c r="E124" s="33">
        <v>70.6511</v>
      </c>
      <c r="F124" s="34">
        <f t="shared" si="32"/>
        <v>23.1316</v>
      </c>
      <c r="G124" s="53">
        <v>63.0753</v>
      </c>
      <c r="H124" s="33">
        <f t="shared" si="33"/>
        <v>15.555799999999998</v>
      </c>
      <c r="I124" s="16">
        <f t="shared" si="34"/>
        <v>67.24913105881132</v>
      </c>
      <c r="L124" s="62" t="s">
        <v>29</v>
      </c>
      <c r="M124" s="62"/>
    </row>
    <row r="125" spans="3:9" ht="15">
      <c r="C125" s="37" t="s">
        <v>16</v>
      </c>
      <c r="D125" s="37">
        <f aca="true" t="shared" si="35" ref="D125:I125">SUM(D118:D124)</f>
        <v>326.8917</v>
      </c>
      <c r="E125" s="37">
        <f t="shared" si="35"/>
        <v>603.2716</v>
      </c>
      <c r="F125" s="37">
        <f t="shared" si="35"/>
        <v>276.3799</v>
      </c>
      <c r="G125" s="37">
        <f t="shared" si="35"/>
        <v>511.54089999999997</v>
      </c>
      <c r="H125" s="37">
        <f t="shared" si="35"/>
        <v>184.6492</v>
      </c>
      <c r="I125" s="37">
        <f t="shared" si="35"/>
        <v>468.77157539686675</v>
      </c>
    </row>
    <row r="128" spans="2:3" ht="15">
      <c r="B128" s="41" t="s">
        <v>36</v>
      </c>
      <c r="C128" s="61"/>
    </row>
    <row r="129" spans="2:3" ht="15">
      <c r="B129" s="63" t="s">
        <v>37</v>
      </c>
      <c r="C129" s="63"/>
    </row>
    <row r="130" spans="3:16" ht="15">
      <c r="C130" s="9" t="s">
        <v>2</v>
      </c>
      <c r="D130" s="9" t="s">
        <v>3</v>
      </c>
      <c r="E130" s="9" t="s">
        <v>4</v>
      </c>
      <c r="F130" s="16" t="s">
        <v>5</v>
      </c>
      <c r="G130" s="9" t="s">
        <v>6</v>
      </c>
      <c r="H130" s="16" t="s">
        <v>7</v>
      </c>
      <c r="I130" s="16" t="s">
        <v>8</v>
      </c>
      <c r="L130" s="17" t="s">
        <v>9</v>
      </c>
      <c r="M130" s="18"/>
      <c r="N130" s="18"/>
      <c r="O130" s="18"/>
      <c r="P130" s="19"/>
    </row>
    <row r="131" spans="3:16" ht="15">
      <c r="C131" s="57">
        <v>1</v>
      </c>
      <c r="D131" s="16">
        <v>47.022</v>
      </c>
      <c r="E131" s="64">
        <v>91.6264</v>
      </c>
      <c r="F131" s="16">
        <f>E131-D131</f>
        <v>44.604400000000005</v>
      </c>
      <c r="G131" s="65">
        <v>75.2275</v>
      </c>
      <c r="H131" s="21">
        <f>G131-D131</f>
        <v>28.205500000000008</v>
      </c>
      <c r="I131" s="16">
        <f>((E131-G131)/(E131-D131))*100</f>
        <v>36.76520701993524</v>
      </c>
      <c r="L131" s="24" t="s">
        <v>10</v>
      </c>
      <c r="M131" s="25"/>
      <c r="N131" s="25"/>
      <c r="O131" s="25"/>
      <c r="P131" s="26"/>
    </row>
    <row r="132" spans="3:16" ht="15">
      <c r="C132" s="58">
        <v>2</v>
      </c>
      <c r="D132" s="29">
        <v>47.0686</v>
      </c>
      <c r="E132" s="66">
        <v>94.925</v>
      </c>
      <c r="F132" s="29">
        <f aca="true" t="shared" si="36" ref="F132:F137">E132-D132</f>
        <v>47.856399999999994</v>
      </c>
      <c r="G132" s="67">
        <v>77.3224</v>
      </c>
      <c r="H132" s="28">
        <f aca="true" t="shared" si="37" ref="H132:H137">G132-D132</f>
        <v>30.2538</v>
      </c>
      <c r="I132" s="16">
        <f aca="true" t="shared" si="38" ref="I132:I137">((E132-G132)/(E132-D132))*100</f>
        <v>36.7821231851957</v>
      </c>
      <c r="L132" s="24" t="s">
        <v>11</v>
      </c>
      <c r="M132" s="25"/>
      <c r="N132" s="25"/>
      <c r="O132" s="25"/>
      <c r="P132" s="26"/>
    </row>
    <row r="133" spans="3:16" ht="15">
      <c r="C133" s="58">
        <v>3</v>
      </c>
      <c r="D133" s="29">
        <v>48.0145</v>
      </c>
      <c r="E133" s="68">
        <v>91.1952</v>
      </c>
      <c r="F133" s="29">
        <f t="shared" si="36"/>
        <v>43.1807</v>
      </c>
      <c r="G133" s="67">
        <v>78.0885</v>
      </c>
      <c r="H133" s="28">
        <f t="shared" si="37"/>
        <v>30.073999999999998</v>
      </c>
      <c r="I133" s="16">
        <f t="shared" si="38"/>
        <v>30.353143881409988</v>
      </c>
      <c r="L133" s="24" t="s">
        <v>12</v>
      </c>
      <c r="M133" s="25"/>
      <c r="N133" s="25"/>
      <c r="O133" s="25"/>
      <c r="P133" s="26"/>
    </row>
    <row r="134" spans="3:16" ht="15">
      <c r="C134" s="29">
        <v>4</v>
      </c>
      <c r="D134" s="29">
        <v>47.0832</v>
      </c>
      <c r="E134" s="66">
        <v>90.64</v>
      </c>
      <c r="F134" s="29">
        <f t="shared" si="36"/>
        <v>43.5568</v>
      </c>
      <c r="G134" s="67">
        <v>76.7545</v>
      </c>
      <c r="H134" s="28">
        <f t="shared" si="37"/>
        <v>29.671299999999995</v>
      </c>
      <c r="I134" s="16">
        <f t="shared" si="38"/>
        <v>31.879063659405666</v>
      </c>
      <c r="L134" s="24" t="s">
        <v>13</v>
      </c>
      <c r="M134" s="25"/>
      <c r="N134" s="25"/>
      <c r="O134" s="25"/>
      <c r="P134" s="26"/>
    </row>
    <row r="135" spans="3:16" ht="15">
      <c r="C135" s="29">
        <v>5</v>
      </c>
      <c r="D135" s="29">
        <v>45.0506</v>
      </c>
      <c r="E135" s="66">
        <v>83.3826</v>
      </c>
      <c r="F135" s="29">
        <f t="shared" si="36"/>
        <v>38.331999999999994</v>
      </c>
      <c r="G135" s="67">
        <v>72.1393</v>
      </c>
      <c r="H135" s="28">
        <f t="shared" si="37"/>
        <v>27.088700000000003</v>
      </c>
      <c r="I135" s="16">
        <f t="shared" si="38"/>
        <v>29.331368047584245</v>
      </c>
      <c r="L135" s="38" t="s">
        <v>20</v>
      </c>
      <c r="M135" s="39"/>
      <c r="N135" s="39"/>
      <c r="O135" s="39"/>
      <c r="P135" s="40"/>
    </row>
    <row r="136" spans="3:9" ht="15">
      <c r="C136" s="29">
        <v>6</v>
      </c>
      <c r="D136" s="29">
        <v>45.1333</v>
      </c>
      <c r="E136" s="66">
        <v>80.8513</v>
      </c>
      <c r="F136" s="29">
        <f t="shared" si="36"/>
        <v>35.717999999999996</v>
      </c>
      <c r="G136" s="67">
        <v>68.9334</v>
      </c>
      <c r="H136" s="28">
        <f t="shared" si="37"/>
        <v>23.800100000000008</v>
      </c>
      <c r="I136" s="16">
        <f t="shared" si="38"/>
        <v>33.36664986841365</v>
      </c>
    </row>
    <row r="137" spans="3:13" ht="15">
      <c r="C137" s="60">
        <v>7</v>
      </c>
      <c r="D137" s="34">
        <v>47.5195</v>
      </c>
      <c r="E137" s="69">
        <v>70.6511</v>
      </c>
      <c r="F137" s="34">
        <f t="shared" si="36"/>
        <v>23.1316</v>
      </c>
      <c r="G137" s="70">
        <v>63.0753</v>
      </c>
      <c r="H137" s="33">
        <f t="shared" si="37"/>
        <v>15.555799999999998</v>
      </c>
      <c r="I137" s="16">
        <f t="shared" si="38"/>
        <v>32.750868941188685</v>
      </c>
      <c r="L137" s="62" t="s">
        <v>38</v>
      </c>
      <c r="M137" s="62"/>
    </row>
    <row r="138" spans="3:9" ht="15">
      <c r="C138" s="37" t="s">
        <v>16</v>
      </c>
      <c r="D138" s="37">
        <f aca="true" t="shared" si="39" ref="D138:I138">SUM(D131:D137)</f>
        <v>326.8917</v>
      </c>
      <c r="E138" s="37">
        <f t="shared" si="39"/>
        <v>603.2716</v>
      </c>
      <c r="F138" s="37">
        <f t="shared" si="39"/>
        <v>276.3799</v>
      </c>
      <c r="G138" s="37">
        <f t="shared" si="39"/>
        <v>511.54089999999997</v>
      </c>
      <c r="H138" s="37">
        <f t="shared" si="39"/>
        <v>184.6492</v>
      </c>
      <c r="I138" s="37">
        <f t="shared" si="39"/>
        <v>231.2284246031332</v>
      </c>
    </row>
    <row r="141" ht="15">
      <c r="B141" s="8" t="s">
        <v>39</v>
      </c>
    </row>
    <row r="142" ht="15">
      <c r="B142" s="8" t="s">
        <v>40</v>
      </c>
    </row>
    <row r="143" spans="3:9" ht="15">
      <c r="C143" s="9" t="s">
        <v>2</v>
      </c>
      <c r="D143" s="9" t="s">
        <v>3</v>
      </c>
      <c r="E143" s="9" t="s">
        <v>4</v>
      </c>
      <c r="F143" s="16" t="s">
        <v>5</v>
      </c>
      <c r="G143" s="9" t="s">
        <v>6</v>
      </c>
      <c r="H143" s="16" t="s">
        <v>7</v>
      </c>
      <c r="I143" s="16" t="s">
        <v>8</v>
      </c>
    </row>
    <row r="144" spans="3:9" ht="15">
      <c r="C144" s="57">
        <v>1</v>
      </c>
      <c r="D144" s="16">
        <v>59.8089</v>
      </c>
      <c r="E144" s="64">
        <v>115.9776</v>
      </c>
      <c r="F144" s="16">
        <f>E144-D144</f>
        <v>56.168699999999994</v>
      </c>
      <c r="G144" s="65">
        <v>101.0988</v>
      </c>
      <c r="H144" s="21">
        <f>G144-D144</f>
        <v>41.289899999999996</v>
      </c>
      <c r="I144" s="16">
        <f>((E144-G144)/(E144-D144))*100</f>
        <v>26.489486137297106</v>
      </c>
    </row>
    <row r="145" spans="3:9" ht="15">
      <c r="C145" s="58">
        <v>2</v>
      </c>
      <c r="D145" s="29">
        <v>60.8769</v>
      </c>
      <c r="E145" s="66">
        <v>119.7031</v>
      </c>
      <c r="F145" s="16">
        <f aca="true" t="shared" si="40" ref="F145:F146">E145-D145</f>
        <v>58.82620000000001</v>
      </c>
      <c r="G145" s="67">
        <v>104.2919</v>
      </c>
      <c r="H145" s="28">
        <f aca="true" t="shared" si="41" ref="H145:H146">G145-D145</f>
        <v>43.415</v>
      </c>
      <c r="I145" s="16">
        <f aca="true" t="shared" si="42" ref="I145:I146">((E145-G145)/(E145-D145))*100</f>
        <v>26.197850617581974</v>
      </c>
    </row>
    <row r="146" spans="3:9" ht="15">
      <c r="C146" s="58">
        <v>3</v>
      </c>
      <c r="D146" s="29">
        <v>60.3386</v>
      </c>
      <c r="E146" s="68">
        <v>78.739</v>
      </c>
      <c r="F146" s="16">
        <f t="shared" si="40"/>
        <v>18.400400000000005</v>
      </c>
      <c r="G146" s="67">
        <v>73.3581</v>
      </c>
      <c r="H146" s="28">
        <f t="shared" si="41"/>
        <v>13.019499999999994</v>
      </c>
      <c r="I146" s="16">
        <f t="shared" si="42"/>
        <v>29.24338601334759</v>
      </c>
    </row>
    <row r="148" ht="15">
      <c r="B148" s="8" t="s">
        <v>41</v>
      </c>
    </row>
    <row r="149" ht="15">
      <c r="B149" s="8" t="s">
        <v>40</v>
      </c>
    </row>
    <row r="150" spans="3:9" ht="15">
      <c r="C150" s="9" t="s">
        <v>2</v>
      </c>
      <c r="D150" s="9" t="s">
        <v>3</v>
      </c>
      <c r="E150" s="9" t="s">
        <v>4</v>
      </c>
      <c r="F150" s="16" t="s">
        <v>5</v>
      </c>
      <c r="G150" s="9" t="s">
        <v>6</v>
      </c>
      <c r="H150" s="16" t="s">
        <v>7</v>
      </c>
      <c r="I150" s="16" t="s">
        <v>8</v>
      </c>
    </row>
    <row r="151" spans="3:9" ht="15">
      <c r="C151" s="57">
        <v>1</v>
      </c>
      <c r="D151" s="16">
        <v>67.1972</v>
      </c>
      <c r="E151" s="64">
        <v>118.5491</v>
      </c>
      <c r="F151" s="16">
        <f>E151-D151</f>
        <v>51.3519</v>
      </c>
      <c r="G151" s="65">
        <v>104.4428</v>
      </c>
      <c r="H151" s="21">
        <f>G151-D151</f>
        <v>37.24560000000001</v>
      </c>
      <c r="I151" s="16">
        <f>((E151-G151)/(E151-D151))*100</f>
        <v>27.4698696640241</v>
      </c>
    </row>
    <row r="152" spans="3:9" ht="15">
      <c r="C152" s="58">
        <v>2</v>
      </c>
      <c r="D152" s="29">
        <v>47.5218</v>
      </c>
      <c r="E152" s="66">
        <v>102.3244</v>
      </c>
      <c r="F152" s="16">
        <f aca="true" t="shared" si="43" ref="F152:F156">E152-D152</f>
        <v>54.8026</v>
      </c>
      <c r="G152" s="67">
        <v>85.5759</v>
      </c>
      <c r="H152" s="21">
        <f aca="true" t="shared" si="44" ref="H152:H155">G152-D152</f>
        <v>38.054100000000005</v>
      </c>
      <c r="I152" s="16">
        <f aca="true" t="shared" si="45" ref="I152:I156">((E152-G152)/(E152-D152))*100</f>
        <v>30.56150620590993</v>
      </c>
    </row>
    <row r="153" spans="3:9" ht="15">
      <c r="C153" s="58">
        <v>3</v>
      </c>
      <c r="D153" s="29">
        <v>44.3005</v>
      </c>
      <c r="E153" s="68">
        <v>75.7066</v>
      </c>
      <c r="F153" s="16">
        <f t="shared" si="43"/>
        <v>31.406099999999995</v>
      </c>
      <c r="G153" s="67">
        <v>64.5883</v>
      </c>
      <c r="H153" s="21">
        <f t="shared" si="44"/>
        <v>20.287800000000004</v>
      </c>
      <c r="I153" s="16">
        <f t="shared" si="45"/>
        <v>35.40172132165405</v>
      </c>
    </row>
    <row r="154" spans="3:9" ht="15">
      <c r="C154" s="31">
        <v>4</v>
      </c>
      <c r="D154" s="31">
        <v>60.3364</v>
      </c>
      <c r="E154" s="8">
        <v>110.267</v>
      </c>
      <c r="F154" s="16">
        <f t="shared" si="43"/>
        <v>49.9306</v>
      </c>
      <c r="G154" s="67">
        <v>96.7499</v>
      </c>
      <c r="H154" s="21">
        <f t="shared" si="44"/>
        <v>36.4135</v>
      </c>
      <c r="I154" s="16">
        <f t="shared" si="45"/>
        <v>27.071775624566897</v>
      </c>
    </row>
    <row r="155" spans="3:9" ht="15">
      <c r="C155" s="31">
        <v>5</v>
      </c>
      <c r="D155" s="31">
        <v>59.806</v>
      </c>
      <c r="E155" s="8">
        <v>101.4025</v>
      </c>
      <c r="F155" s="16">
        <f t="shared" si="43"/>
        <v>41.596500000000006</v>
      </c>
      <c r="G155" s="67">
        <v>90.7214</v>
      </c>
      <c r="H155" s="21">
        <f t="shared" si="44"/>
        <v>30.915400000000005</v>
      </c>
      <c r="I155" s="16">
        <f t="shared" si="45"/>
        <v>25.677881552534465</v>
      </c>
    </row>
    <row r="156" spans="3:9" ht="15">
      <c r="C156" s="31">
        <v>6</v>
      </c>
      <c r="D156" s="31">
        <v>60.8762</v>
      </c>
      <c r="E156" s="8">
        <v>103.9085</v>
      </c>
      <c r="F156" s="16">
        <f t="shared" si="43"/>
        <v>43.032300000000006</v>
      </c>
      <c r="G156" s="67">
        <v>90.8501</v>
      </c>
      <c r="H156" s="21">
        <f>G156-D156</f>
        <v>29.9739</v>
      </c>
      <c r="I156" s="16">
        <f t="shared" si="45"/>
        <v>30.345577624249703</v>
      </c>
    </row>
  </sheetData>
  <mergeCells count="20">
    <mergeCell ref="B58:C58"/>
    <mergeCell ref="B2:C2"/>
    <mergeCell ref="B3:C3"/>
    <mergeCell ref="L11:M11"/>
    <mergeCell ref="B16:C16"/>
    <mergeCell ref="B17:C17"/>
    <mergeCell ref="L25:M25"/>
    <mergeCell ref="B30:C30"/>
    <mergeCell ref="B31:C31"/>
    <mergeCell ref="L39:M39"/>
    <mergeCell ref="B45:C45"/>
    <mergeCell ref="L53:M53"/>
    <mergeCell ref="B101:D101"/>
    <mergeCell ref="B102:C102"/>
    <mergeCell ref="B59:C59"/>
    <mergeCell ref="L67:M67"/>
    <mergeCell ref="B72:C72"/>
    <mergeCell ref="L80:M80"/>
    <mergeCell ref="B85:C85"/>
    <mergeCell ref="L93:M9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7"/>
  <sheetViews>
    <sheetView workbookViewId="0" topLeftCell="A5">
      <selection activeCell="A1" sqref="A1:XFD1048576"/>
    </sheetView>
  </sheetViews>
  <sheetFormatPr defaultColWidth="9.00390625" defaultRowHeight="15"/>
  <cols>
    <col min="1" max="6" width="9.00390625" style="8" customWidth="1"/>
    <col min="7" max="7" width="16.28125" style="8" customWidth="1"/>
    <col min="8" max="8" width="10.8515625" style="8" customWidth="1"/>
    <col min="9" max="16384" width="9.00390625" style="8" customWidth="1"/>
  </cols>
  <sheetData>
    <row r="2" spans="2:9" ht="15">
      <c r="B2" s="43" t="s">
        <v>42</v>
      </c>
      <c r="C2" s="44"/>
      <c r="D2" s="44"/>
      <c r="E2" s="44"/>
      <c r="F2" s="44"/>
      <c r="G2" s="44"/>
      <c r="H2" s="44"/>
      <c r="I2" s="44"/>
    </row>
    <row r="3" spans="3:9" ht="15">
      <c r="C3" s="44" t="s">
        <v>43</v>
      </c>
      <c r="D3" s="44"/>
      <c r="E3" s="44"/>
      <c r="F3" s="45" t="s">
        <v>44</v>
      </c>
      <c r="G3" s="45" t="s">
        <v>45</v>
      </c>
      <c r="H3" s="45" t="s">
        <v>46</v>
      </c>
      <c r="I3" s="44"/>
    </row>
    <row r="4" spans="3:9" ht="15">
      <c r="C4" s="44" t="s">
        <v>47</v>
      </c>
      <c r="D4" s="44"/>
      <c r="E4" s="44"/>
      <c r="F4" s="46" t="s">
        <v>48</v>
      </c>
      <c r="G4" s="46" t="s">
        <v>49</v>
      </c>
      <c r="H4" s="46">
        <f>(37*1.19*10)/36.5</f>
        <v>12.063013698630137</v>
      </c>
      <c r="I4" s="44"/>
    </row>
    <row r="5" spans="3:9" ht="15">
      <c r="C5" s="44" t="s">
        <v>50</v>
      </c>
      <c r="D5" s="44"/>
      <c r="E5" s="44"/>
      <c r="F5" s="47" t="s">
        <v>51</v>
      </c>
      <c r="G5" s="47" t="s">
        <v>52</v>
      </c>
      <c r="H5" s="47">
        <f>(3*500)/H4</f>
        <v>124.347036111742</v>
      </c>
      <c r="I5" s="44"/>
    </row>
    <row r="6" spans="3:9" ht="15">
      <c r="C6" s="44" t="s">
        <v>53</v>
      </c>
      <c r="D6" s="44"/>
      <c r="E6" s="44"/>
      <c r="F6" s="44"/>
      <c r="G6" s="44"/>
      <c r="H6" s="44"/>
      <c r="I6" s="44"/>
    </row>
    <row r="7" spans="3:9" ht="15">
      <c r="C7" s="44" t="s">
        <v>54</v>
      </c>
      <c r="D7" s="44"/>
      <c r="E7" s="44"/>
      <c r="F7" s="44"/>
      <c r="G7" s="44" t="s">
        <v>55</v>
      </c>
      <c r="H7" s="44">
        <f>H5</f>
        <v>124.347036111742</v>
      </c>
      <c r="I7" s="44" t="s">
        <v>56</v>
      </c>
    </row>
    <row r="8" spans="3:9" ht="15">
      <c r="C8" s="44" t="s">
        <v>57</v>
      </c>
      <c r="D8" s="44"/>
      <c r="E8" s="44"/>
      <c r="F8" s="44"/>
      <c r="G8" s="44"/>
      <c r="H8" s="44"/>
      <c r="I8" s="44"/>
    </row>
    <row r="11" spans="2:9" ht="15">
      <c r="B11" s="43" t="s">
        <v>58</v>
      </c>
      <c r="C11" s="44"/>
      <c r="D11" s="44"/>
      <c r="E11" s="44"/>
      <c r="F11" s="44"/>
      <c r="G11" s="44"/>
      <c r="H11" s="44"/>
      <c r="I11" s="44"/>
    </row>
    <row r="12" spans="3:9" ht="15">
      <c r="C12" s="44" t="s">
        <v>43</v>
      </c>
      <c r="D12" s="44"/>
      <c r="E12" s="44"/>
      <c r="F12" s="48" t="s">
        <v>44</v>
      </c>
      <c r="G12" s="48" t="s">
        <v>45</v>
      </c>
      <c r="H12" s="48" t="s">
        <v>46</v>
      </c>
      <c r="I12" s="44"/>
    </row>
    <row r="13" spans="3:9" ht="15">
      <c r="C13" s="44" t="s">
        <v>59</v>
      </c>
      <c r="D13" s="44"/>
      <c r="E13" s="44"/>
      <c r="F13" s="46" t="s">
        <v>51</v>
      </c>
      <c r="G13" s="46" t="s">
        <v>60</v>
      </c>
      <c r="H13" s="46">
        <f>500/1000</f>
        <v>0.5</v>
      </c>
      <c r="I13" s="44"/>
    </row>
    <row r="14" spans="3:9" ht="15">
      <c r="C14" s="44" t="s">
        <v>54</v>
      </c>
      <c r="D14" s="44"/>
      <c r="E14" s="44"/>
      <c r="F14" s="49" t="s">
        <v>61</v>
      </c>
      <c r="G14" s="49" t="s">
        <v>62</v>
      </c>
      <c r="H14" s="49">
        <f>H13*3</f>
        <v>1.5</v>
      </c>
      <c r="I14" s="44"/>
    </row>
    <row r="15" spans="3:9" ht="15">
      <c r="C15" s="44" t="s">
        <v>57</v>
      </c>
      <c r="D15" s="44"/>
      <c r="E15" s="44"/>
      <c r="F15" s="47" t="s">
        <v>63</v>
      </c>
      <c r="G15" s="50" t="s">
        <v>64</v>
      </c>
      <c r="H15" s="50">
        <f>H14*40</f>
        <v>60</v>
      </c>
      <c r="I15" s="44"/>
    </row>
    <row r="16" spans="3:9" ht="15">
      <c r="C16" s="44"/>
      <c r="D16" s="44"/>
      <c r="E16" s="44"/>
      <c r="F16" s="44"/>
      <c r="G16" s="44"/>
      <c r="H16" s="44"/>
      <c r="I16" s="44"/>
    </row>
    <row r="17" spans="3:9" ht="15">
      <c r="C17" s="44"/>
      <c r="D17" s="44"/>
      <c r="E17" s="44"/>
      <c r="F17" s="44"/>
      <c r="G17" s="44"/>
      <c r="H17" s="44"/>
      <c r="I17" s="44"/>
    </row>
    <row r="18" spans="3:9" ht="15">
      <c r="C18" s="44"/>
      <c r="D18" s="44"/>
      <c r="E18" s="44"/>
      <c r="F18" s="44"/>
      <c r="G18" s="44" t="s">
        <v>55</v>
      </c>
      <c r="H18" s="44">
        <f>H15</f>
        <v>60</v>
      </c>
      <c r="I18" s="44" t="s">
        <v>63</v>
      </c>
    </row>
    <row r="21" spans="2:9" ht="15">
      <c r="B21" s="43" t="s">
        <v>65</v>
      </c>
      <c r="C21" s="44"/>
      <c r="D21" s="44"/>
      <c r="E21" s="44"/>
      <c r="F21" s="44"/>
      <c r="G21" s="44"/>
      <c r="H21" s="44"/>
      <c r="I21" s="44"/>
    </row>
    <row r="22" spans="3:9" ht="15">
      <c r="C22" s="44" t="s">
        <v>43</v>
      </c>
      <c r="D22" s="44"/>
      <c r="E22" s="44"/>
      <c r="F22" s="45" t="s">
        <v>44</v>
      </c>
      <c r="G22" s="45" t="s">
        <v>45</v>
      </c>
      <c r="H22" s="45" t="s">
        <v>46</v>
      </c>
      <c r="I22" s="44"/>
    </row>
    <row r="23" spans="3:9" ht="15">
      <c r="C23" s="44" t="s">
        <v>66</v>
      </c>
      <c r="D23" s="44"/>
      <c r="E23" s="44"/>
      <c r="F23" s="46" t="s">
        <v>48</v>
      </c>
      <c r="G23" s="46" t="s">
        <v>49</v>
      </c>
      <c r="H23" s="46">
        <f>(85*1.71*10)/98</f>
        <v>14.831632653061224</v>
      </c>
      <c r="I23" s="44"/>
    </row>
    <row r="24" spans="3:9" ht="15">
      <c r="C24" s="44" t="s">
        <v>67</v>
      </c>
      <c r="D24" s="44"/>
      <c r="E24" s="44"/>
      <c r="F24" s="47" t="s">
        <v>51</v>
      </c>
      <c r="G24" s="47" t="s">
        <v>52</v>
      </c>
      <c r="H24" s="47">
        <f>(3*500)/H23</f>
        <v>101.13519091847266</v>
      </c>
      <c r="I24" s="44"/>
    </row>
    <row r="25" spans="3:9" ht="15">
      <c r="C25" s="44" t="s">
        <v>68</v>
      </c>
      <c r="D25" s="44"/>
      <c r="E25" s="44"/>
      <c r="F25" s="44"/>
      <c r="G25" s="44"/>
      <c r="H25" s="44"/>
      <c r="I25" s="44"/>
    </row>
    <row r="26" spans="3:9" ht="15">
      <c r="C26" s="44" t="s">
        <v>54</v>
      </c>
      <c r="D26" s="44"/>
      <c r="E26" s="44"/>
      <c r="F26" s="44"/>
      <c r="G26" s="44" t="s">
        <v>55</v>
      </c>
      <c r="H26" s="44">
        <f>H24</f>
        <v>101.13519091847266</v>
      </c>
      <c r="I26" s="44" t="s">
        <v>56</v>
      </c>
    </row>
    <row r="27" spans="3:9" ht="15">
      <c r="C27" s="44" t="s">
        <v>57</v>
      </c>
      <c r="D27" s="44"/>
      <c r="E27" s="44"/>
      <c r="F27" s="44"/>
      <c r="G27" s="44"/>
      <c r="H27" s="44"/>
      <c r="I27" s="44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4:R32"/>
  <sheetViews>
    <sheetView workbookViewId="0" topLeftCell="D13">
      <selection activeCell="N32" sqref="N32:O32"/>
    </sheetView>
  </sheetViews>
  <sheetFormatPr defaultColWidth="9.00390625" defaultRowHeight="15"/>
  <cols>
    <col min="1" max="3" width="9.00390625" style="8" customWidth="1"/>
    <col min="4" max="4" width="12.57421875" style="8" customWidth="1"/>
    <col min="5" max="7" width="9.00390625" style="8" customWidth="1"/>
    <col min="8" max="8" width="11.7109375" style="8" customWidth="1"/>
    <col min="9" max="9" width="12.28125" style="8" customWidth="1"/>
    <col min="10" max="10" width="12.8515625" style="8" customWidth="1"/>
    <col min="11" max="16384" width="9.00390625" style="8" customWidth="1"/>
  </cols>
  <sheetData>
    <row r="14" spans="3:6" ht="15">
      <c r="C14" s="108" t="s">
        <v>69</v>
      </c>
      <c r="D14" s="108"/>
      <c r="F14" s="8" t="s">
        <v>70</v>
      </c>
    </row>
    <row r="15" spans="3:4" ht="15">
      <c r="C15" s="109" t="s">
        <v>71</v>
      </c>
      <c r="D15" s="109"/>
    </row>
    <row r="16" spans="4:18" ht="15">
      <c r="D16" s="9" t="s">
        <v>2</v>
      </c>
      <c r="E16" s="9" t="s">
        <v>3</v>
      </c>
      <c r="F16" s="16" t="s">
        <v>4</v>
      </c>
      <c r="G16" s="16" t="s">
        <v>5</v>
      </c>
      <c r="H16" s="9" t="s">
        <v>6</v>
      </c>
      <c r="I16" s="16" t="s">
        <v>7</v>
      </c>
      <c r="J16" s="16" t="s">
        <v>8</v>
      </c>
      <c r="N16" s="17" t="s">
        <v>9</v>
      </c>
      <c r="O16" s="18"/>
      <c r="P16" s="18"/>
      <c r="Q16" s="18"/>
      <c r="R16" s="19"/>
    </row>
    <row r="17" spans="4:18" ht="15">
      <c r="D17" s="20" t="s">
        <v>72</v>
      </c>
      <c r="E17" s="21">
        <v>50.0864</v>
      </c>
      <c r="F17" s="16">
        <f>E17+G17</f>
        <v>51.0864</v>
      </c>
      <c r="G17" s="22">
        <v>1</v>
      </c>
      <c r="H17" s="23">
        <v>51.0199</v>
      </c>
      <c r="I17" s="16">
        <f>H17-E17</f>
        <v>0.9335000000000022</v>
      </c>
      <c r="J17" s="22">
        <f>((F17-H17)/(F17-E17))*100</f>
        <v>6.649999999999778</v>
      </c>
      <c r="L17" s="8">
        <f>J17+J26</f>
        <v>6.8799999999995975</v>
      </c>
      <c r="N17" s="24" t="s">
        <v>10</v>
      </c>
      <c r="O17" s="25"/>
      <c r="P17" s="25"/>
      <c r="Q17" s="25"/>
      <c r="R17" s="26"/>
    </row>
    <row r="18" spans="4:18" ht="15">
      <c r="D18" s="27" t="s">
        <v>73</v>
      </c>
      <c r="E18" s="28">
        <v>44.3003</v>
      </c>
      <c r="F18" s="29">
        <f aca="true" t="shared" si="0" ref="F18:F19">E18+G18</f>
        <v>45.3003</v>
      </c>
      <c r="G18" s="30">
        <v>1</v>
      </c>
      <c r="H18" s="31">
        <v>45.2326</v>
      </c>
      <c r="I18" s="29">
        <f aca="true" t="shared" si="1" ref="I18:I19">H18-E18</f>
        <v>0.9322999999999979</v>
      </c>
      <c r="J18" s="22">
        <f aca="true" t="shared" si="2" ref="J18:J19">((F18-H18)/(F18-E18))*100</f>
        <v>6.770000000000209</v>
      </c>
      <c r="L18" s="8">
        <f aca="true" t="shared" si="3" ref="L18:L19">J18+J27</f>
        <v>7.9000000000000625</v>
      </c>
      <c r="N18" s="24" t="s">
        <v>11</v>
      </c>
      <c r="O18" s="25"/>
      <c r="P18" s="25"/>
      <c r="Q18" s="25"/>
      <c r="R18" s="26"/>
    </row>
    <row r="19" spans="4:18" ht="15">
      <c r="D19" s="32" t="s">
        <v>74</v>
      </c>
      <c r="E19" s="33">
        <v>47.5196</v>
      </c>
      <c r="F19" s="34">
        <f t="shared" si="0"/>
        <v>48.5196</v>
      </c>
      <c r="G19" s="35">
        <v>1</v>
      </c>
      <c r="H19" s="36">
        <v>48.4658</v>
      </c>
      <c r="I19" s="34">
        <f t="shared" si="1"/>
        <v>0.9462000000000046</v>
      </c>
      <c r="J19" s="9">
        <f t="shared" si="2"/>
        <v>5.379999999999541</v>
      </c>
      <c r="L19" s="8">
        <f t="shared" si="3"/>
        <v>6.089999999999662</v>
      </c>
      <c r="N19" s="24" t="s">
        <v>12</v>
      </c>
      <c r="O19" s="25"/>
      <c r="P19" s="25"/>
      <c r="Q19" s="25"/>
      <c r="R19" s="26"/>
    </row>
    <row r="20" spans="4:18" ht="15">
      <c r="D20" s="37" t="s">
        <v>16</v>
      </c>
      <c r="E20" s="37">
        <f>SUM(E17:E19)</f>
        <v>141.9063</v>
      </c>
      <c r="F20" s="37">
        <f aca="true" t="shared" si="4" ref="F20:J20">SUM(F17:F19)</f>
        <v>144.9063</v>
      </c>
      <c r="G20" s="37">
        <f t="shared" si="4"/>
        <v>3</v>
      </c>
      <c r="H20" s="37">
        <f t="shared" si="4"/>
        <v>144.7183</v>
      </c>
      <c r="I20" s="37">
        <f t="shared" si="4"/>
        <v>2.8120000000000047</v>
      </c>
      <c r="J20" s="37">
        <f t="shared" si="4"/>
        <v>18.799999999999528</v>
      </c>
      <c r="N20" s="24" t="s">
        <v>13</v>
      </c>
      <c r="O20" s="25"/>
      <c r="P20" s="25"/>
      <c r="Q20" s="25"/>
      <c r="R20" s="26"/>
    </row>
    <row r="21" spans="14:18" ht="15">
      <c r="N21" s="38" t="s">
        <v>75</v>
      </c>
      <c r="O21" s="39"/>
      <c r="P21" s="39"/>
      <c r="Q21" s="39"/>
      <c r="R21" s="40"/>
    </row>
    <row r="23" spans="3:6" ht="15">
      <c r="C23" s="110" t="s">
        <v>76</v>
      </c>
      <c r="D23" s="110"/>
      <c r="F23" s="8" t="s">
        <v>77</v>
      </c>
    </row>
    <row r="24" spans="3:4" ht="15">
      <c r="C24" s="109" t="s">
        <v>78</v>
      </c>
      <c r="D24" s="109"/>
    </row>
    <row r="25" spans="4:18" ht="15">
      <c r="D25" s="9" t="s">
        <v>2</v>
      </c>
      <c r="E25" s="9" t="s">
        <v>3</v>
      </c>
      <c r="F25" s="16" t="s">
        <v>4</v>
      </c>
      <c r="G25" s="16" t="s">
        <v>5</v>
      </c>
      <c r="H25" s="9" t="s">
        <v>6</v>
      </c>
      <c r="I25" s="16" t="s">
        <v>7</v>
      </c>
      <c r="J25" s="16" t="s">
        <v>19</v>
      </c>
      <c r="N25" s="17" t="s">
        <v>9</v>
      </c>
      <c r="O25" s="18"/>
      <c r="P25" s="18"/>
      <c r="Q25" s="18"/>
      <c r="R25" s="19"/>
    </row>
    <row r="26" spans="4:18" ht="15">
      <c r="D26" s="20" t="s">
        <v>72</v>
      </c>
      <c r="E26" s="21">
        <v>34.2254</v>
      </c>
      <c r="F26" s="16">
        <f>E26+G26</f>
        <v>35.2254</v>
      </c>
      <c r="G26" s="22">
        <v>1</v>
      </c>
      <c r="H26" s="21">
        <v>34.2277</v>
      </c>
      <c r="I26" s="21">
        <f>H26-E26</f>
        <v>0.0022999999999981924</v>
      </c>
      <c r="J26" s="16">
        <f>((I26)/(G26))*100</f>
        <v>0.22999999999981924</v>
      </c>
      <c r="N26" s="24" t="s">
        <v>10</v>
      </c>
      <c r="O26" s="25"/>
      <c r="P26" s="25"/>
      <c r="Q26" s="25"/>
      <c r="R26" s="26"/>
    </row>
    <row r="27" spans="4:18" ht="15">
      <c r="D27" s="27" t="s">
        <v>73</v>
      </c>
      <c r="E27" s="28">
        <v>33.0373</v>
      </c>
      <c r="F27" s="29">
        <f aca="true" t="shared" si="5" ref="F27:F28">E27+G27</f>
        <v>34.0373</v>
      </c>
      <c r="G27" s="30">
        <v>1</v>
      </c>
      <c r="H27" s="28">
        <v>33.0486</v>
      </c>
      <c r="I27" s="28">
        <f aca="true" t="shared" si="6" ref="I27:I28">H27-E27</f>
        <v>0.011299999999998533</v>
      </c>
      <c r="J27" s="29">
        <f aca="true" t="shared" si="7" ref="J27:J28">((I27)/(G27))*100</f>
        <v>1.1299999999998533</v>
      </c>
      <c r="N27" s="24" t="s">
        <v>11</v>
      </c>
      <c r="O27" s="25"/>
      <c r="P27" s="25"/>
      <c r="Q27" s="25"/>
      <c r="R27" s="26"/>
    </row>
    <row r="28" spans="3:18" ht="15">
      <c r="C28" s="41"/>
      <c r="D28" s="32" t="s">
        <v>74</v>
      </c>
      <c r="E28" s="33">
        <v>36.7401</v>
      </c>
      <c r="F28" s="34">
        <f t="shared" si="5"/>
        <v>37.7401</v>
      </c>
      <c r="G28" s="35">
        <v>1</v>
      </c>
      <c r="H28" s="33">
        <v>36.7472</v>
      </c>
      <c r="I28" s="33">
        <f t="shared" si="6"/>
        <v>0.0071000000000012164</v>
      </c>
      <c r="J28" s="34">
        <f t="shared" si="7"/>
        <v>0.7100000000001216</v>
      </c>
      <c r="L28" s="42"/>
      <c r="N28" s="24" t="s">
        <v>12</v>
      </c>
      <c r="O28" s="25"/>
      <c r="P28" s="25"/>
      <c r="Q28" s="25"/>
      <c r="R28" s="26"/>
    </row>
    <row r="29" spans="3:18" ht="15">
      <c r="C29" s="41"/>
      <c r="D29" s="37" t="s">
        <v>16</v>
      </c>
      <c r="E29" s="37">
        <f>SUM(E26:E28)</f>
        <v>104.0028</v>
      </c>
      <c r="F29" s="37">
        <f>SUM(F26:F28)</f>
        <v>107.0028</v>
      </c>
      <c r="G29" s="37">
        <f aca="true" t="shared" si="8" ref="G29">SUM(G26:G28)</f>
        <v>3</v>
      </c>
      <c r="H29" s="37">
        <f>SUM(H26:H28)</f>
        <v>104.02349999999998</v>
      </c>
      <c r="I29" s="37">
        <f>SUM(I26:I28)</f>
        <v>0.020699999999997942</v>
      </c>
      <c r="J29" s="37">
        <f>SUM(J26:J28)</f>
        <v>2.0699999999997942</v>
      </c>
      <c r="N29" s="24" t="s">
        <v>13</v>
      </c>
      <c r="O29" s="25"/>
      <c r="P29" s="25"/>
      <c r="Q29" s="25"/>
      <c r="R29" s="26"/>
    </row>
    <row r="30" spans="13:18" ht="15">
      <c r="M30" s="62"/>
      <c r="N30" s="38" t="s">
        <v>20</v>
      </c>
      <c r="O30" s="39"/>
      <c r="P30" s="39"/>
      <c r="Q30" s="39"/>
      <c r="R30" s="40"/>
    </row>
    <row r="32" spans="14:15" ht="15">
      <c r="N32" s="110"/>
      <c r="O32" s="110"/>
    </row>
  </sheetData>
  <mergeCells count="5">
    <mergeCell ref="C14:D14"/>
    <mergeCell ref="C15:D15"/>
    <mergeCell ref="C23:D23"/>
    <mergeCell ref="C24:D24"/>
    <mergeCell ref="N32:O3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24"/>
  <sheetViews>
    <sheetView workbookViewId="0" topLeftCell="E1">
      <selection activeCell="E3" sqref="E3:J12"/>
    </sheetView>
  </sheetViews>
  <sheetFormatPr defaultColWidth="9.140625" defaultRowHeight="15"/>
  <cols>
    <col min="4" max="4" width="13.421875" style="0" customWidth="1"/>
    <col min="5" max="5" width="12.421875" style="0" customWidth="1"/>
    <col min="7" max="7" width="22.57421875" style="0" customWidth="1"/>
    <col min="8" max="8" width="26.8515625" style="0" customWidth="1"/>
    <col min="9" max="9" width="14.421875" style="0" customWidth="1"/>
    <col min="10" max="10" width="13.140625" style="0" customWidth="1"/>
  </cols>
  <sheetData>
    <row r="2" spans="2:19" ht="15">
      <c r="B2" s="109" t="s">
        <v>79</v>
      </c>
      <c r="C2" s="109"/>
      <c r="D2" s="109"/>
      <c r="E2" s="8"/>
      <c r="F2" s="8"/>
      <c r="G2" s="8"/>
      <c r="H2" s="8"/>
      <c r="I2" s="8"/>
      <c r="J2" s="8"/>
      <c r="K2" s="8"/>
      <c r="P2" s="8"/>
      <c r="Q2" s="8"/>
      <c r="R2" s="8"/>
      <c r="S2" s="8"/>
    </row>
    <row r="3" spans="2:19" ht="15">
      <c r="B3" s="8"/>
      <c r="C3" s="9" t="s">
        <v>80</v>
      </c>
      <c r="D3" s="9" t="s">
        <v>81</v>
      </c>
      <c r="E3" s="9" t="s">
        <v>82</v>
      </c>
      <c r="F3" s="123" t="s">
        <v>83</v>
      </c>
      <c r="G3" s="123"/>
      <c r="H3" s="9" t="s">
        <v>84</v>
      </c>
      <c r="I3" s="9" t="s">
        <v>85</v>
      </c>
      <c r="J3" s="10" t="s">
        <v>86</v>
      </c>
      <c r="K3" s="8"/>
      <c r="L3" s="72" t="s">
        <v>98</v>
      </c>
      <c r="M3" s="112" t="s">
        <v>99</v>
      </c>
      <c r="N3" s="112"/>
      <c r="O3" s="112"/>
      <c r="P3" s="8"/>
      <c r="Q3" s="8"/>
      <c r="R3" s="8"/>
      <c r="S3" s="8"/>
    </row>
    <row r="4" spans="2:19" ht="15">
      <c r="B4" s="8"/>
      <c r="C4" s="9">
        <v>1</v>
      </c>
      <c r="D4" s="9">
        <v>1</v>
      </c>
      <c r="E4" s="123" t="s">
        <v>87</v>
      </c>
      <c r="F4" s="124">
        <v>826.8</v>
      </c>
      <c r="G4" s="124"/>
      <c r="H4" s="11">
        <v>175.69</v>
      </c>
      <c r="I4" s="12">
        <f>F4-H4</f>
        <v>651.1099999999999</v>
      </c>
      <c r="J4" s="13">
        <f>(I4/F4)*100</f>
        <v>78.75060474117078</v>
      </c>
      <c r="K4" s="8"/>
      <c r="L4" s="113" t="s">
        <v>103</v>
      </c>
      <c r="M4" s="114">
        <v>3.9</v>
      </c>
      <c r="N4" s="115"/>
      <c r="O4" s="116"/>
      <c r="P4" s="8"/>
      <c r="Q4" s="8"/>
      <c r="R4" s="8"/>
      <c r="S4" s="8"/>
    </row>
    <row r="5" spans="2:19" ht="15">
      <c r="B5" s="8"/>
      <c r="C5" s="9">
        <v>2</v>
      </c>
      <c r="D5" s="9">
        <v>2</v>
      </c>
      <c r="E5" s="123"/>
      <c r="F5" s="124"/>
      <c r="G5" s="124"/>
      <c r="H5" s="11">
        <v>87.25</v>
      </c>
      <c r="I5" s="12">
        <f>F4-H5</f>
        <v>739.55</v>
      </c>
      <c r="J5" s="13">
        <f>(I5/F4)*100</f>
        <v>89.44726656990808</v>
      </c>
      <c r="K5" s="8"/>
      <c r="L5" s="113"/>
      <c r="M5" s="117"/>
      <c r="N5" s="118"/>
      <c r="O5" s="119"/>
      <c r="P5" s="8"/>
      <c r="Q5" s="8"/>
      <c r="R5" s="8"/>
      <c r="S5" s="8"/>
    </row>
    <row r="6" spans="2:19" ht="15">
      <c r="B6" s="8"/>
      <c r="C6" s="9">
        <v>3</v>
      </c>
      <c r="D6" s="9">
        <v>3</v>
      </c>
      <c r="E6" s="123"/>
      <c r="F6" s="124"/>
      <c r="G6" s="124"/>
      <c r="H6" s="11">
        <v>180.01</v>
      </c>
      <c r="I6" s="12">
        <f>F4-H6</f>
        <v>646.79</v>
      </c>
      <c r="J6" s="13">
        <f>(I6/F4)*100</f>
        <v>78.2281083696178</v>
      </c>
      <c r="K6" s="8"/>
      <c r="L6" s="113"/>
      <c r="M6" s="120"/>
      <c r="N6" s="121"/>
      <c r="O6" s="122"/>
      <c r="P6" s="8"/>
      <c r="Q6" s="8"/>
      <c r="R6" s="8"/>
      <c r="S6" s="8"/>
    </row>
    <row r="7" spans="2:19" ht="15">
      <c r="B7" s="8"/>
      <c r="C7" s="9">
        <v>4</v>
      </c>
      <c r="D7" s="9">
        <v>1</v>
      </c>
      <c r="E7" s="123" t="s">
        <v>88</v>
      </c>
      <c r="F7" s="124"/>
      <c r="G7" s="124"/>
      <c r="H7" s="14">
        <v>91.26</v>
      </c>
      <c r="I7" s="12">
        <f>F4-H7</f>
        <v>735.54</v>
      </c>
      <c r="J7" s="13">
        <f>(I7/F4)*100</f>
        <v>88.9622641509434</v>
      </c>
      <c r="K7" s="8"/>
      <c r="L7" s="113"/>
      <c r="M7" s="114">
        <v>4.9</v>
      </c>
      <c r="N7" s="115"/>
      <c r="O7" s="116"/>
      <c r="P7" s="8"/>
      <c r="Q7" s="8"/>
      <c r="R7" s="8"/>
      <c r="S7" s="8"/>
    </row>
    <row r="8" spans="2:19" ht="15">
      <c r="B8" s="8"/>
      <c r="C8" s="9">
        <v>5</v>
      </c>
      <c r="D8" s="9">
        <v>2</v>
      </c>
      <c r="E8" s="123"/>
      <c r="F8" s="124"/>
      <c r="G8" s="124"/>
      <c r="H8" s="14">
        <v>83.44</v>
      </c>
      <c r="I8" s="12">
        <f>F4-H8</f>
        <v>743.3599999999999</v>
      </c>
      <c r="J8" s="13">
        <f>(I8/F4)*100</f>
        <v>89.9080793420416</v>
      </c>
      <c r="K8" s="8"/>
      <c r="L8" s="113"/>
      <c r="M8" s="117"/>
      <c r="N8" s="118"/>
      <c r="O8" s="119"/>
      <c r="P8" s="8"/>
      <c r="Q8" s="8"/>
      <c r="R8" s="8"/>
      <c r="S8" s="8"/>
    </row>
    <row r="9" spans="2:19" ht="15">
      <c r="B9" s="8"/>
      <c r="C9" s="9">
        <v>6</v>
      </c>
      <c r="D9" s="9">
        <v>3</v>
      </c>
      <c r="E9" s="123"/>
      <c r="F9" s="124"/>
      <c r="G9" s="124"/>
      <c r="H9" s="14">
        <v>84.6</v>
      </c>
      <c r="I9" s="12">
        <f>F4-H9</f>
        <v>742.1999999999999</v>
      </c>
      <c r="J9" s="13">
        <f>(I9/F4)*100</f>
        <v>89.7677793904209</v>
      </c>
      <c r="K9" s="8"/>
      <c r="L9" s="113"/>
      <c r="M9" s="120"/>
      <c r="N9" s="121"/>
      <c r="O9" s="122"/>
      <c r="P9" s="8"/>
      <c r="Q9" s="8"/>
      <c r="R9" s="8"/>
      <c r="S9" s="8"/>
    </row>
    <row r="10" spans="2:19" ht="15">
      <c r="B10" s="8"/>
      <c r="C10" s="9">
        <v>7</v>
      </c>
      <c r="D10" s="9">
        <v>1</v>
      </c>
      <c r="E10" s="123" t="s">
        <v>89</v>
      </c>
      <c r="F10" s="124"/>
      <c r="G10" s="124"/>
      <c r="H10" s="11">
        <v>85.37</v>
      </c>
      <c r="I10" s="12">
        <f>F4-H10</f>
        <v>741.43</v>
      </c>
      <c r="J10" s="13">
        <f>(I10/F4)*100</f>
        <v>89.67464925012095</v>
      </c>
      <c r="K10" s="8"/>
      <c r="L10" s="113"/>
      <c r="M10" s="114">
        <v>4.9</v>
      </c>
      <c r="N10" s="115"/>
      <c r="O10" s="116"/>
      <c r="P10" s="8"/>
      <c r="Q10" s="8"/>
      <c r="R10" s="8"/>
      <c r="S10" s="8"/>
    </row>
    <row r="11" spans="2:19" ht="15">
      <c r="B11" s="8"/>
      <c r="C11" s="9">
        <v>8</v>
      </c>
      <c r="D11" s="9">
        <v>2</v>
      </c>
      <c r="E11" s="123"/>
      <c r="F11" s="124"/>
      <c r="G11" s="124"/>
      <c r="H11" s="15">
        <v>90.56</v>
      </c>
      <c r="I11" s="12">
        <f>F4-H11</f>
        <v>736.24</v>
      </c>
      <c r="J11" s="13">
        <f>(I11/F4)*100</f>
        <v>89.04692791485245</v>
      </c>
      <c r="K11" s="8"/>
      <c r="L11" s="113"/>
      <c r="M11" s="117"/>
      <c r="N11" s="118"/>
      <c r="O11" s="119"/>
      <c r="P11" s="8"/>
      <c r="Q11" s="8"/>
      <c r="R11" s="8"/>
      <c r="S11" s="8"/>
    </row>
    <row r="12" spans="2:19" ht="15">
      <c r="B12" s="8"/>
      <c r="C12" s="9">
        <v>9</v>
      </c>
      <c r="D12" s="9">
        <v>3</v>
      </c>
      <c r="E12" s="123"/>
      <c r="F12" s="124"/>
      <c r="G12" s="124"/>
      <c r="H12" s="15">
        <v>79.81</v>
      </c>
      <c r="I12" s="12">
        <f>F4-H12</f>
        <v>746.99</v>
      </c>
      <c r="J12" s="13">
        <f>(I12/F4)*100</f>
        <v>90.3471214320271</v>
      </c>
      <c r="K12" s="8"/>
      <c r="L12" s="113"/>
      <c r="M12" s="120"/>
      <c r="N12" s="121"/>
      <c r="O12" s="122"/>
      <c r="P12" s="8"/>
      <c r="Q12" s="8"/>
      <c r="R12" s="8"/>
      <c r="S12" s="8"/>
    </row>
    <row r="13" spans="2:19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ht="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2:19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ht="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15">
      <c r="B17" s="8"/>
      <c r="C17" s="8"/>
      <c r="D17" s="8"/>
      <c r="E17" s="8"/>
      <c r="F17" s="8"/>
      <c r="G17" s="9" t="s">
        <v>82</v>
      </c>
      <c r="H17" s="9" t="s">
        <v>90</v>
      </c>
      <c r="I17" s="9" t="s">
        <v>91</v>
      </c>
      <c r="J17" s="9" t="s">
        <v>92</v>
      </c>
      <c r="K17" s="8"/>
      <c r="L17" s="8"/>
      <c r="M17" s="8"/>
      <c r="N17" s="8"/>
      <c r="O17" s="8"/>
      <c r="P17" s="8"/>
      <c r="Q17" s="8"/>
      <c r="R17" s="8"/>
      <c r="S17" s="8"/>
    </row>
    <row r="18" spans="2:19" ht="15">
      <c r="B18" s="8"/>
      <c r="C18" s="8"/>
      <c r="D18" s="8"/>
      <c r="E18" s="8"/>
      <c r="F18" s="8"/>
      <c r="G18" s="9" t="s">
        <v>72</v>
      </c>
      <c r="H18" s="9">
        <v>78.751</v>
      </c>
      <c r="I18" s="9">
        <v>89.447</v>
      </c>
      <c r="J18" s="9">
        <v>78.228</v>
      </c>
      <c r="K18" s="8"/>
      <c r="L18" s="8"/>
      <c r="M18" s="8"/>
      <c r="N18" s="8"/>
      <c r="O18" s="8"/>
      <c r="P18" s="8"/>
      <c r="Q18" s="8"/>
      <c r="R18" s="8"/>
      <c r="S18" s="8"/>
    </row>
    <row r="19" spans="2:19" ht="15">
      <c r="B19" s="8"/>
      <c r="C19" s="8"/>
      <c r="D19" s="8"/>
      <c r="E19" s="8"/>
      <c r="F19" s="8"/>
      <c r="G19" s="9" t="s">
        <v>73</v>
      </c>
      <c r="H19" s="9">
        <v>88.962</v>
      </c>
      <c r="I19" s="9">
        <v>89.908</v>
      </c>
      <c r="J19" s="9">
        <v>89.768</v>
      </c>
      <c r="K19" s="8"/>
      <c r="L19" s="8"/>
      <c r="M19" s="8"/>
      <c r="N19" s="8"/>
      <c r="O19" s="8"/>
      <c r="P19" s="8"/>
      <c r="Q19" s="8"/>
      <c r="R19" s="8"/>
      <c r="S19" s="8"/>
    </row>
    <row r="20" spans="2:19" ht="16.5">
      <c r="B20" s="8"/>
      <c r="C20" s="8"/>
      <c r="D20" s="8"/>
      <c r="E20" s="8"/>
      <c r="F20" s="8"/>
      <c r="G20" s="100" t="s">
        <v>126</v>
      </c>
      <c r="H20" s="9">
        <v>89.675</v>
      </c>
      <c r="I20" s="9">
        <v>89.047</v>
      </c>
      <c r="J20" s="9">
        <v>90.347</v>
      </c>
      <c r="K20" s="8"/>
      <c r="L20" s="8"/>
      <c r="M20" s="8"/>
      <c r="N20" s="8"/>
      <c r="O20" s="8"/>
      <c r="P20" s="8"/>
      <c r="Q20" s="8"/>
      <c r="R20" s="8"/>
      <c r="S20" s="8"/>
    </row>
    <row r="21" spans="2:19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19" ht="1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4" ht="15.75">
      <c r="H24" s="103"/>
    </row>
  </sheetData>
  <mergeCells count="11">
    <mergeCell ref="E7:E9"/>
    <mergeCell ref="E10:E12"/>
    <mergeCell ref="B2:D2"/>
    <mergeCell ref="F3:G3"/>
    <mergeCell ref="E4:E6"/>
    <mergeCell ref="F4:G12"/>
    <mergeCell ref="M3:O3"/>
    <mergeCell ref="L4:L12"/>
    <mergeCell ref="M4:O6"/>
    <mergeCell ref="M7:O9"/>
    <mergeCell ref="M10:O12"/>
  </mergeCells>
  <printOptions/>
  <pageMargins left="0.7" right="0.7" top="0.75" bottom="0.75" header="0.3" footer="0.3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30"/>
  <sheetViews>
    <sheetView zoomScale="77" zoomScaleNormal="77" workbookViewId="0" topLeftCell="A7">
      <selection activeCell="C13" sqref="C13:D18"/>
    </sheetView>
  </sheetViews>
  <sheetFormatPr defaultColWidth="9.140625" defaultRowHeight="15"/>
  <cols>
    <col min="4" max="4" width="25.28125" style="0" customWidth="1"/>
    <col min="5" max="5" width="15.7109375" style="0" customWidth="1"/>
    <col min="6" max="6" width="27.7109375" style="0" customWidth="1"/>
    <col min="7" max="7" width="26.57421875" style="0" customWidth="1"/>
    <col min="8" max="8" width="19.421875" style="0" customWidth="1"/>
    <col min="9" max="9" width="17.28125" style="0" customWidth="1"/>
    <col min="10" max="10" width="12.8515625" style="0" customWidth="1"/>
  </cols>
  <sheetData>
    <row r="1" spans="2:3" ht="15">
      <c r="B1" s="126" t="s">
        <v>93</v>
      </c>
      <c r="C1" s="126"/>
    </row>
    <row r="2" spans="3:16" ht="15.75">
      <c r="C2" s="2" t="s">
        <v>80</v>
      </c>
      <c r="D2" s="2" t="s">
        <v>94</v>
      </c>
      <c r="E2" s="127" t="s">
        <v>95</v>
      </c>
      <c r="F2" s="127"/>
      <c r="G2" s="2" t="s">
        <v>96</v>
      </c>
      <c r="H2" s="2" t="s">
        <v>97</v>
      </c>
      <c r="I2" s="3" t="s">
        <v>86</v>
      </c>
      <c r="M2" s="72" t="s">
        <v>98</v>
      </c>
      <c r="N2" s="112" t="s">
        <v>99</v>
      </c>
      <c r="O2" s="112"/>
      <c r="P2" s="112"/>
    </row>
    <row r="3" spans="3:16" ht="15.75">
      <c r="C3" s="7">
        <v>1</v>
      </c>
      <c r="D3" s="7">
        <v>3</v>
      </c>
      <c r="E3" s="128">
        <v>4715.37</v>
      </c>
      <c r="F3" s="129"/>
      <c r="G3" s="4">
        <v>536.32</v>
      </c>
      <c r="H3" s="5">
        <f>E3-G3</f>
        <v>4179.05</v>
      </c>
      <c r="I3" s="5">
        <f>(H3/E3)*100</f>
        <v>88.62613114135264</v>
      </c>
      <c r="M3" s="134">
        <v>5.5</v>
      </c>
      <c r="N3" s="112">
        <v>1.8</v>
      </c>
      <c r="O3" s="112"/>
      <c r="P3" s="112"/>
    </row>
    <row r="4" spans="3:16" ht="15.75">
      <c r="C4" s="7">
        <v>2</v>
      </c>
      <c r="D4" s="7">
        <v>4</v>
      </c>
      <c r="E4" s="130"/>
      <c r="F4" s="131"/>
      <c r="G4" s="4">
        <v>838.62</v>
      </c>
      <c r="H4" s="5">
        <f>E3-G4</f>
        <v>3876.75</v>
      </c>
      <c r="I4" s="5">
        <f>(H4/E3)*100</f>
        <v>82.21518141736492</v>
      </c>
      <c r="M4" s="135"/>
      <c r="N4" s="112">
        <v>3.6</v>
      </c>
      <c r="O4" s="112"/>
      <c r="P4" s="112"/>
    </row>
    <row r="5" spans="3:16" ht="15.75">
      <c r="C5" s="7">
        <v>3</v>
      </c>
      <c r="D5" s="7">
        <v>5</v>
      </c>
      <c r="E5" s="130"/>
      <c r="F5" s="131"/>
      <c r="G5" s="4">
        <v>978.41</v>
      </c>
      <c r="H5" s="5">
        <f>E3-G5</f>
        <v>3736.96</v>
      </c>
      <c r="I5" s="5">
        <f>(H5/E3)*100</f>
        <v>79.25062084205481</v>
      </c>
      <c r="M5" s="135"/>
      <c r="N5" s="112">
        <v>5</v>
      </c>
      <c r="O5" s="112"/>
      <c r="P5" s="112"/>
    </row>
    <row r="6" spans="3:16" ht="15.75">
      <c r="C6" s="7">
        <v>4</v>
      </c>
      <c r="D6" s="7">
        <v>6</v>
      </c>
      <c r="E6" s="130"/>
      <c r="F6" s="131"/>
      <c r="G6" s="6">
        <v>947.65</v>
      </c>
      <c r="H6" s="5">
        <f>E3-G6</f>
        <v>3767.72</v>
      </c>
      <c r="I6" s="5">
        <f>(H6/E3)*100</f>
        <v>79.90295565353301</v>
      </c>
      <c r="M6" s="135"/>
      <c r="N6" s="112">
        <v>5.6</v>
      </c>
      <c r="O6" s="112"/>
      <c r="P6" s="112"/>
    </row>
    <row r="7" spans="3:16" ht="15.75">
      <c r="C7" s="7">
        <v>5</v>
      </c>
      <c r="D7" s="7">
        <v>7</v>
      </c>
      <c r="E7" s="130"/>
      <c r="F7" s="131"/>
      <c r="G7" s="6">
        <v>1195.88</v>
      </c>
      <c r="H7" s="5">
        <f>E3-G7</f>
        <v>3519.49</v>
      </c>
      <c r="I7" s="5">
        <f>(H7/E3)*100</f>
        <v>74.63868158808322</v>
      </c>
      <c r="M7" s="135"/>
      <c r="N7" s="112">
        <v>6.9</v>
      </c>
      <c r="O7" s="112"/>
      <c r="P7" s="112"/>
    </row>
    <row r="8" spans="3:16" ht="15.75">
      <c r="C8" s="7">
        <v>6</v>
      </c>
      <c r="D8" s="7">
        <v>8</v>
      </c>
      <c r="E8" s="132"/>
      <c r="F8" s="133"/>
      <c r="G8" s="6">
        <v>832.53</v>
      </c>
      <c r="H8" s="5">
        <f>E3-G8</f>
        <v>3882.84</v>
      </c>
      <c r="I8" s="5">
        <f>(H8/E3)*100</f>
        <v>82.3443335305607</v>
      </c>
      <c r="M8" s="136"/>
      <c r="N8" s="137">
        <v>8.1</v>
      </c>
      <c r="O8" s="137"/>
      <c r="P8" s="137"/>
    </row>
    <row r="9" spans="3:16" ht="15.75">
      <c r="C9" s="73"/>
      <c r="D9" s="73"/>
      <c r="M9" s="74"/>
      <c r="N9" s="75"/>
      <c r="O9" s="75"/>
      <c r="P9" s="75"/>
    </row>
    <row r="10" spans="3:16" ht="15.75">
      <c r="C10" s="73"/>
      <c r="D10" s="73"/>
      <c r="M10" s="76"/>
      <c r="N10" s="1"/>
      <c r="O10" s="1"/>
      <c r="P10" s="1"/>
    </row>
    <row r="11" spans="3:13" ht="15.75">
      <c r="C11" s="73"/>
      <c r="D11" s="73"/>
      <c r="M11" s="76"/>
    </row>
    <row r="12" spans="3:15" ht="15.75">
      <c r="C12" s="2" t="s">
        <v>100</v>
      </c>
      <c r="D12" s="2" t="s">
        <v>86</v>
      </c>
      <c r="O12" t="s">
        <v>101</v>
      </c>
    </row>
    <row r="13" spans="3:4" ht="15.75">
      <c r="C13" s="7">
        <v>3</v>
      </c>
      <c r="D13" s="107">
        <v>88.626</v>
      </c>
    </row>
    <row r="14" spans="3:4" ht="15.75">
      <c r="C14" s="7">
        <v>4</v>
      </c>
      <c r="D14" s="107">
        <v>82.215</v>
      </c>
    </row>
    <row r="15" spans="3:12" ht="15.75">
      <c r="C15" s="7">
        <v>5</v>
      </c>
      <c r="D15" s="107">
        <v>79.251</v>
      </c>
      <c r="L15" t="s">
        <v>101</v>
      </c>
    </row>
    <row r="16" spans="3:4" ht="15.75">
      <c r="C16" s="7">
        <v>6</v>
      </c>
      <c r="D16" s="107">
        <v>79.903</v>
      </c>
    </row>
    <row r="17" spans="3:4" ht="15.75">
      <c r="C17" s="7">
        <v>7</v>
      </c>
      <c r="D17" s="107">
        <v>74.639</v>
      </c>
    </row>
    <row r="18" spans="3:4" ht="15.75">
      <c r="C18" s="7">
        <v>8</v>
      </c>
      <c r="D18" s="107">
        <v>82.344</v>
      </c>
    </row>
    <row r="30" spans="10:11" ht="15">
      <c r="J30" s="125" t="s">
        <v>102</v>
      </c>
      <c r="K30" s="125"/>
    </row>
  </sheetData>
  <mergeCells count="12">
    <mergeCell ref="J30:K30"/>
    <mergeCell ref="N5:P5"/>
    <mergeCell ref="N6:P6"/>
    <mergeCell ref="N7:P7"/>
    <mergeCell ref="B1:C1"/>
    <mergeCell ref="E2:F2"/>
    <mergeCell ref="N2:P2"/>
    <mergeCell ref="E3:F8"/>
    <mergeCell ref="M3:M8"/>
    <mergeCell ref="N3:P3"/>
    <mergeCell ref="N4:P4"/>
    <mergeCell ref="N8:P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33"/>
  <sheetViews>
    <sheetView workbookViewId="0" topLeftCell="B1">
      <selection activeCell="D4" sqref="D4:D9"/>
    </sheetView>
  </sheetViews>
  <sheetFormatPr defaultColWidth="9.140625" defaultRowHeight="15"/>
  <cols>
    <col min="3" max="3" width="5.421875" style="0" customWidth="1"/>
    <col min="4" max="4" width="20.57421875" style="0" customWidth="1"/>
    <col min="5" max="5" width="8.140625" style="0" customWidth="1"/>
    <col min="6" max="6" width="2.421875" style="0" customWidth="1"/>
    <col min="7" max="7" width="13.8515625" style="0" customWidth="1"/>
    <col min="8" max="8" width="13.421875" style="0" customWidth="1"/>
    <col min="9" max="9" width="11.140625" style="0" customWidth="1"/>
  </cols>
  <sheetData>
    <row r="2" spans="2:4" ht="15">
      <c r="B2" s="126" t="s">
        <v>106</v>
      </c>
      <c r="C2" s="126"/>
      <c r="D2" s="126"/>
    </row>
    <row r="3" spans="3:15" ht="15">
      <c r="C3" s="9" t="s">
        <v>80</v>
      </c>
      <c r="D3" s="9" t="s">
        <v>104</v>
      </c>
      <c r="E3" s="123" t="s">
        <v>95</v>
      </c>
      <c r="F3" s="123"/>
      <c r="G3" s="9" t="s">
        <v>96</v>
      </c>
      <c r="H3" s="9" t="s">
        <v>97</v>
      </c>
      <c r="I3" s="9" t="s">
        <v>86</v>
      </c>
      <c r="J3" s="8"/>
      <c r="K3" s="8"/>
      <c r="L3" s="101" t="s">
        <v>98</v>
      </c>
      <c r="M3" s="139" t="s">
        <v>105</v>
      </c>
      <c r="N3" s="139"/>
      <c r="O3" s="139"/>
    </row>
    <row r="4" spans="3:15" ht="15">
      <c r="C4" s="77">
        <v>1</v>
      </c>
      <c r="D4" s="77">
        <v>5</v>
      </c>
      <c r="E4" s="140">
        <v>3269.78</v>
      </c>
      <c r="F4" s="141"/>
      <c r="G4" s="11">
        <v>1907.1</v>
      </c>
      <c r="H4" s="13">
        <f>E4-G4</f>
        <v>1362.6800000000003</v>
      </c>
      <c r="I4" s="13">
        <f>(H4/E4)*100</f>
        <v>41.67497507477568</v>
      </c>
      <c r="J4" s="8"/>
      <c r="K4" s="8"/>
      <c r="L4" s="123">
        <v>5.3</v>
      </c>
      <c r="M4" s="138">
        <v>3.3</v>
      </c>
      <c r="N4" s="139"/>
      <c r="O4" s="139"/>
    </row>
    <row r="5" spans="3:15" ht="15">
      <c r="C5" s="77">
        <v>2</v>
      </c>
      <c r="D5" s="77">
        <v>10</v>
      </c>
      <c r="E5" s="142"/>
      <c r="F5" s="143"/>
      <c r="G5" s="11">
        <v>1824.99</v>
      </c>
      <c r="H5" s="13">
        <f>E4-G5</f>
        <v>1444.7900000000002</v>
      </c>
      <c r="I5" s="13">
        <f>(H5/E4)*100</f>
        <v>44.186153196851166</v>
      </c>
      <c r="J5" s="8"/>
      <c r="K5" s="8"/>
      <c r="L5" s="123"/>
      <c r="M5" s="138">
        <v>3.2</v>
      </c>
      <c r="N5" s="139"/>
      <c r="O5" s="139"/>
    </row>
    <row r="6" spans="3:15" ht="15">
      <c r="C6" s="77">
        <v>3</v>
      </c>
      <c r="D6" s="77">
        <v>20</v>
      </c>
      <c r="E6" s="142"/>
      <c r="F6" s="143"/>
      <c r="G6" s="14">
        <v>1863.76</v>
      </c>
      <c r="H6" s="13">
        <f>E4-G6</f>
        <v>1406.0200000000002</v>
      </c>
      <c r="I6" s="13">
        <f>(H6/E4)*100</f>
        <v>43.00044651322107</v>
      </c>
      <c r="J6" s="8"/>
      <c r="K6" s="8"/>
      <c r="L6" s="123"/>
      <c r="M6" s="138">
        <v>3.2</v>
      </c>
      <c r="N6" s="139"/>
      <c r="O6" s="139"/>
    </row>
    <row r="7" spans="3:15" ht="15">
      <c r="C7" s="77">
        <v>4</v>
      </c>
      <c r="D7" s="77">
        <v>25</v>
      </c>
      <c r="E7" s="142"/>
      <c r="F7" s="143"/>
      <c r="G7" s="14">
        <v>1888.08</v>
      </c>
      <c r="H7" s="13">
        <f>E4-G7</f>
        <v>1381.7000000000003</v>
      </c>
      <c r="I7" s="13">
        <f>(H7/E4)*100</f>
        <v>42.2566655860639</v>
      </c>
      <c r="J7" s="8"/>
      <c r="K7" s="8"/>
      <c r="L7" s="123"/>
      <c r="M7" s="138">
        <v>3</v>
      </c>
      <c r="N7" s="139"/>
      <c r="O7" s="139"/>
    </row>
    <row r="8" spans="3:15" ht="15">
      <c r="C8" s="77">
        <v>5</v>
      </c>
      <c r="D8" s="77">
        <v>30</v>
      </c>
      <c r="E8" s="142"/>
      <c r="F8" s="143"/>
      <c r="G8" s="14">
        <v>1931.54</v>
      </c>
      <c r="H8" s="13">
        <f>E4-G8</f>
        <v>1338.2400000000002</v>
      </c>
      <c r="I8" s="13">
        <f>(H8/E4)*100</f>
        <v>40.927524175938444</v>
      </c>
      <c r="J8" s="8"/>
      <c r="K8" s="8"/>
      <c r="L8" s="123"/>
      <c r="M8" s="138">
        <v>3.1</v>
      </c>
      <c r="N8" s="139"/>
      <c r="O8" s="139"/>
    </row>
    <row r="9" spans="3:15" ht="15">
      <c r="C9" s="78">
        <v>6</v>
      </c>
      <c r="D9" s="78">
        <v>60</v>
      </c>
      <c r="E9" s="144"/>
      <c r="F9" s="145"/>
      <c r="G9" s="79">
        <v>1955.5</v>
      </c>
      <c r="H9" s="13">
        <f>E4-G9</f>
        <v>1314.2800000000002</v>
      </c>
      <c r="I9" s="80">
        <f>(H9/E4)*100</f>
        <v>40.194753163821424</v>
      </c>
      <c r="J9" s="8"/>
      <c r="K9" s="8"/>
      <c r="L9" s="123"/>
      <c r="M9" s="138">
        <v>3</v>
      </c>
      <c r="N9" s="139"/>
      <c r="O9" s="139"/>
    </row>
    <row r="10" spans="3:12" ht="15">
      <c r="C10" s="8"/>
      <c r="D10" s="8"/>
      <c r="E10" s="8"/>
      <c r="F10" s="8"/>
      <c r="G10" s="8"/>
      <c r="H10" s="8"/>
      <c r="I10" s="8"/>
      <c r="J10" s="8"/>
      <c r="K10" s="8"/>
      <c r="L10" s="81"/>
    </row>
    <row r="11" spans="3:15" ht="1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3:15" ht="15">
      <c r="C12" s="8"/>
      <c r="D12" s="8">
        <v>5</v>
      </c>
      <c r="E12" s="8">
        <v>5</v>
      </c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3:15" ht="15">
      <c r="C13" s="8"/>
      <c r="D13" s="8">
        <v>10</v>
      </c>
      <c r="E13" s="8">
        <v>10</v>
      </c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3:15" ht="15">
      <c r="C14" s="8"/>
      <c r="D14" s="8">
        <v>15</v>
      </c>
      <c r="E14" s="8">
        <v>20</v>
      </c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3:15" ht="15">
      <c r="C15" s="8"/>
      <c r="D15" s="8">
        <v>20</v>
      </c>
      <c r="E15" s="8">
        <v>30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3:15" ht="15">
      <c r="C16" s="8"/>
      <c r="D16" s="8">
        <v>25</v>
      </c>
      <c r="E16" s="8">
        <v>40</v>
      </c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3:15" ht="15">
      <c r="C17" s="8"/>
      <c r="D17" s="8">
        <v>30</v>
      </c>
      <c r="E17" s="8">
        <v>50</v>
      </c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3:15" ht="15">
      <c r="C18" s="8"/>
      <c r="D18" s="8">
        <v>35</v>
      </c>
      <c r="E18" s="8">
        <v>60</v>
      </c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3:15" ht="15">
      <c r="C19" s="8"/>
      <c r="D19" s="8">
        <v>40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8"/>
      <c r="D20" s="8">
        <v>45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5" ht="15">
      <c r="C21" s="8"/>
      <c r="D21" s="8">
        <v>50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3:15" ht="15">
      <c r="C22" s="8"/>
      <c r="D22" s="8">
        <v>55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3:15" ht="15">
      <c r="C23" s="8"/>
      <c r="D23" s="8">
        <v>60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3:15" ht="15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3:15" ht="15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3:15" ht="15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3:15" ht="1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3:15" ht="1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4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5">
      <c r="B33" s="8"/>
      <c r="J33" s="8"/>
      <c r="K33" s="8"/>
      <c r="L33" s="8"/>
      <c r="M33" s="8"/>
      <c r="N33" s="8"/>
    </row>
  </sheetData>
  <mergeCells count="11">
    <mergeCell ref="M9:O9"/>
    <mergeCell ref="B2:D2"/>
    <mergeCell ref="E3:F3"/>
    <mergeCell ref="M3:O3"/>
    <mergeCell ref="M4:O4"/>
    <mergeCell ref="M5:O5"/>
    <mergeCell ref="M6:O6"/>
    <mergeCell ref="M7:O7"/>
    <mergeCell ref="M8:O8"/>
    <mergeCell ref="E4:F9"/>
    <mergeCell ref="L4:L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BG31"/>
  <sheetViews>
    <sheetView tabSelected="1" zoomScale="86" zoomScaleNormal="86" workbookViewId="0" topLeftCell="N7">
      <selection activeCell="X19" sqref="X19"/>
    </sheetView>
  </sheetViews>
  <sheetFormatPr defaultColWidth="9.00390625" defaultRowHeight="15"/>
  <cols>
    <col min="1" max="2" width="9.00390625" style="8" customWidth="1"/>
    <col min="3" max="3" width="6.57421875" style="8" customWidth="1"/>
    <col min="4" max="4" width="22.57421875" style="8" customWidth="1"/>
    <col min="5" max="5" width="9.00390625" style="8" customWidth="1"/>
    <col min="6" max="6" width="8.28125" style="8" customWidth="1"/>
    <col min="7" max="7" width="23.57421875" style="8" customWidth="1"/>
    <col min="8" max="8" width="9.00390625" style="8" customWidth="1"/>
    <col min="9" max="9" width="3.00390625" style="8" customWidth="1"/>
    <col min="10" max="10" width="13.00390625" style="8" customWidth="1"/>
    <col min="11" max="11" width="13.421875" style="8" customWidth="1"/>
    <col min="12" max="12" width="14.140625" style="8" customWidth="1"/>
    <col min="13" max="17" width="9.00390625" style="8" customWidth="1"/>
    <col min="18" max="18" width="11.7109375" style="8" customWidth="1"/>
    <col min="19" max="20" width="9.00390625" style="8" customWidth="1"/>
    <col min="21" max="21" width="12.140625" style="8" bestFit="1" customWidth="1"/>
    <col min="22" max="23" width="9.00390625" style="8" customWidth="1"/>
    <col min="24" max="24" width="12.140625" style="8" bestFit="1" customWidth="1"/>
    <col min="25" max="25" width="11.00390625" style="8" customWidth="1"/>
    <col min="26" max="26" width="12.421875" style="8" customWidth="1"/>
    <col min="27" max="27" width="10.28125" style="8" customWidth="1"/>
    <col min="28" max="28" width="11.28125" style="8" customWidth="1"/>
    <col min="29" max="29" width="12.421875" style="8" customWidth="1"/>
    <col min="30" max="30" width="11.8515625" style="8" customWidth="1"/>
    <col min="31" max="31" width="15.7109375" style="8" customWidth="1"/>
    <col min="32" max="37" width="9.00390625" style="8" customWidth="1"/>
    <col min="38" max="38" width="13.00390625" style="8" customWidth="1"/>
    <col min="39" max="41" width="9.00390625" style="8" customWidth="1"/>
    <col min="42" max="42" width="12.57421875" style="8" customWidth="1"/>
    <col min="43" max="16384" width="9.00390625" style="8" customWidth="1"/>
  </cols>
  <sheetData>
    <row r="3" spans="2:4" ht="15">
      <c r="B3" s="146" t="s">
        <v>110</v>
      </c>
      <c r="C3" s="146"/>
      <c r="D3" s="146"/>
    </row>
    <row r="4" spans="3:31" ht="15">
      <c r="C4" s="9" t="s">
        <v>80</v>
      </c>
      <c r="D4" s="9" t="s">
        <v>107</v>
      </c>
      <c r="E4" s="9" t="s">
        <v>108</v>
      </c>
      <c r="F4" s="9" t="s">
        <v>100</v>
      </c>
      <c r="G4" s="9" t="s">
        <v>104</v>
      </c>
      <c r="H4" s="123" t="s">
        <v>95</v>
      </c>
      <c r="I4" s="123"/>
      <c r="J4" s="9" t="s">
        <v>96</v>
      </c>
      <c r="K4" s="9" t="s">
        <v>97</v>
      </c>
      <c r="L4" s="9" t="s">
        <v>109</v>
      </c>
      <c r="M4" s="85" t="s">
        <v>111</v>
      </c>
      <c r="N4" s="85" t="s">
        <v>112</v>
      </c>
      <c r="Y4" s="9" t="s">
        <v>96</v>
      </c>
      <c r="Z4" s="88" t="s">
        <v>61</v>
      </c>
      <c r="AA4" s="9" t="s">
        <v>122</v>
      </c>
      <c r="AB4" s="9" t="s">
        <v>113</v>
      </c>
      <c r="AC4" s="9" t="s">
        <v>114</v>
      </c>
      <c r="AD4" s="9" t="s">
        <v>115</v>
      </c>
      <c r="AE4" s="9" t="s">
        <v>116</v>
      </c>
    </row>
    <row r="5" spans="1:52" s="68" customFormat="1" ht="15">
      <c r="A5" s="8"/>
      <c r="B5" s="8"/>
      <c r="C5" s="77">
        <v>2</v>
      </c>
      <c r="D5" s="77">
        <v>0.2</v>
      </c>
      <c r="E5" s="147">
        <v>0.25</v>
      </c>
      <c r="F5" s="147">
        <v>3</v>
      </c>
      <c r="G5" s="147">
        <v>10</v>
      </c>
      <c r="H5" s="140">
        <v>5272.35</v>
      </c>
      <c r="I5" s="141"/>
      <c r="J5" s="11">
        <v>2119.58</v>
      </c>
      <c r="K5" s="82">
        <f>H5-J5</f>
        <v>3152.7700000000004</v>
      </c>
      <c r="L5" s="82">
        <f>(K5*E5)/D5</f>
        <v>3940.9625000000005</v>
      </c>
      <c r="M5" s="80">
        <f>LOG(J5)</f>
        <v>3.326249812932018</v>
      </c>
      <c r="N5" s="80">
        <f aca="true" t="shared" si="0" ref="N5:N11">LOG(L5)</f>
        <v>3.5956023023813213</v>
      </c>
      <c r="O5" s="8"/>
      <c r="P5" s="84"/>
      <c r="Q5" s="84"/>
      <c r="R5" s="84"/>
      <c r="S5" s="84"/>
      <c r="T5" s="84"/>
      <c r="U5" s="84"/>
      <c r="V5" s="84"/>
      <c r="W5" s="84"/>
      <c r="X5" s="84"/>
      <c r="Y5" s="11">
        <v>2119.58</v>
      </c>
      <c r="Z5" s="85">
        <f>(1/5.3751)</f>
        <v>0.18604305036185373</v>
      </c>
      <c r="AA5" s="8">
        <f>10^(-14.317)</f>
        <v>4.819477976251241E-15</v>
      </c>
      <c r="AB5" s="9">
        <f>1/Z5</f>
        <v>5.3751</v>
      </c>
      <c r="AC5" s="82">
        <f aca="true" t="shared" si="1" ref="AC5:AC11">L5</f>
        <v>3940.9625000000005</v>
      </c>
      <c r="AD5" s="82">
        <f>AA5*(Y5^AB5)</f>
        <v>3646.9127186273636</v>
      </c>
      <c r="AE5" s="82">
        <f aca="true" t="shared" si="2" ref="AE5:AE11">ABS(AC5-AD5)*100/AC5</f>
        <v>7.461369687548078</v>
      </c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</row>
    <row r="6" spans="3:52" ht="15">
      <c r="C6" s="77">
        <v>4</v>
      </c>
      <c r="D6" s="77">
        <v>0.4</v>
      </c>
      <c r="E6" s="148"/>
      <c r="F6" s="148"/>
      <c r="G6" s="148"/>
      <c r="H6" s="142"/>
      <c r="I6" s="143"/>
      <c r="J6" s="14">
        <v>1844.21</v>
      </c>
      <c r="K6" s="82">
        <f>H5-J6</f>
        <v>3428.1400000000003</v>
      </c>
      <c r="L6" s="82">
        <f>(K6*E5)/D6</f>
        <v>2142.5875</v>
      </c>
      <c r="M6" s="80">
        <f aca="true" t="shared" si="3" ref="M6:M11">LOG(J6)</f>
        <v>3.2658103726007073</v>
      </c>
      <c r="N6" s="80">
        <f t="shared" si="0"/>
        <v>3.3309385668805143</v>
      </c>
      <c r="P6" s="84"/>
      <c r="Q6" s="84"/>
      <c r="R6" s="84"/>
      <c r="S6" s="84"/>
      <c r="T6" s="84"/>
      <c r="U6" s="84"/>
      <c r="V6" s="84"/>
      <c r="W6" s="84"/>
      <c r="X6" s="84"/>
      <c r="Y6" s="14">
        <v>1844.21</v>
      </c>
      <c r="Z6" s="85">
        <f aca="true" t="shared" si="4" ref="Z6:Z11">(1/5.3751)</f>
        <v>0.18604305036185373</v>
      </c>
      <c r="AA6" s="8">
        <f aca="true" t="shared" si="5" ref="AA6:AA11">10^(-14.317)</f>
        <v>4.819477976251241E-15</v>
      </c>
      <c r="AB6" s="88">
        <f aca="true" t="shared" si="6" ref="AB6:AB11">1/Z6</f>
        <v>5.3751</v>
      </c>
      <c r="AC6" s="82">
        <f t="shared" si="1"/>
        <v>2142.5875</v>
      </c>
      <c r="AD6" s="82">
        <f aca="true" t="shared" si="7" ref="AD6:AD11">AA6*(Y6^AB6)</f>
        <v>1726.0657450294912</v>
      </c>
      <c r="AE6" s="82">
        <f t="shared" si="2"/>
        <v>19.440128114744855</v>
      </c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</row>
    <row r="7" spans="1:52" s="68" customFormat="1" ht="15">
      <c r="A7" s="8"/>
      <c r="B7" s="8"/>
      <c r="C7" s="78">
        <v>7</v>
      </c>
      <c r="D7" s="78">
        <v>0.7</v>
      </c>
      <c r="E7" s="148"/>
      <c r="F7" s="148"/>
      <c r="G7" s="148"/>
      <c r="H7" s="142"/>
      <c r="I7" s="143"/>
      <c r="J7" s="79">
        <v>1837.81</v>
      </c>
      <c r="K7" s="82">
        <f>H5-J7</f>
        <v>3434.5400000000004</v>
      </c>
      <c r="L7" s="82">
        <f>(K7*E5)/D7</f>
        <v>1226.6214285714289</v>
      </c>
      <c r="M7" s="80">
        <f t="shared" si="3"/>
        <v>3.264300610305356</v>
      </c>
      <c r="N7" s="80">
        <f t="shared" si="0"/>
        <v>3.0887105473635708</v>
      </c>
      <c r="O7" s="8"/>
      <c r="P7" s="84"/>
      <c r="Q7" s="84"/>
      <c r="R7" s="84"/>
      <c r="S7" s="84"/>
      <c r="T7" s="84"/>
      <c r="U7" s="84"/>
      <c r="V7" s="84"/>
      <c r="W7" s="84"/>
      <c r="X7" s="84"/>
      <c r="Y7" s="79">
        <v>1837.81</v>
      </c>
      <c r="Z7" s="85">
        <f t="shared" si="4"/>
        <v>0.18604305036185373</v>
      </c>
      <c r="AA7" s="8">
        <f t="shared" si="5"/>
        <v>4.819477976251241E-15</v>
      </c>
      <c r="AB7" s="88">
        <f t="shared" si="6"/>
        <v>5.3751</v>
      </c>
      <c r="AC7" s="82">
        <f t="shared" si="1"/>
        <v>1226.6214285714289</v>
      </c>
      <c r="AD7" s="82">
        <f t="shared" si="7"/>
        <v>1694.112357792786</v>
      </c>
      <c r="AE7" s="82">
        <f t="shared" si="2"/>
        <v>38.112079108695774</v>
      </c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</row>
    <row r="8" spans="3:52" ht="15">
      <c r="C8" s="78">
        <v>8</v>
      </c>
      <c r="D8" s="78">
        <v>0.8</v>
      </c>
      <c r="E8" s="148"/>
      <c r="F8" s="148"/>
      <c r="G8" s="148"/>
      <c r="H8" s="142"/>
      <c r="I8" s="143"/>
      <c r="J8" s="79">
        <v>1712.93</v>
      </c>
      <c r="K8" s="82">
        <f>H5-J8</f>
        <v>3559.42</v>
      </c>
      <c r="L8" s="82">
        <f>(K8*E5)/D8</f>
        <v>1112.31875</v>
      </c>
      <c r="M8" s="80">
        <f t="shared" si="3"/>
        <v>3.2337396156012983</v>
      </c>
      <c r="N8" s="80">
        <f t="shared" si="0"/>
        <v>3.046229258045967</v>
      </c>
      <c r="P8" s="84"/>
      <c r="Q8" s="84"/>
      <c r="R8" s="84"/>
      <c r="S8" s="84"/>
      <c r="T8" s="84"/>
      <c r="U8" s="84"/>
      <c r="V8" s="84"/>
      <c r="W8" s="84"/>
      <c r="X8" s="84"/>
      <c r="Y8" s="79">
        <v>1712.93</v>
      </c>
      <c r="Z8" s="85">
        <f t="shared" si="4"/>
        <v>0.18604305036185373</v>
      </c>
      <c r="AA8" s="8">
        <f t="shared" si="5"/>
        <v>4.819477976251241E-15</v>
      </c>
      <c r="AB8" s="88">
        <f t="shared" si="6"/>
        <v>5.3751</v>
      </c>
      <c r="AC8" s="82">
        <f t="shared" si="1"/>
        <v>1112.31875</v>
      </c>
      <c r="AD8" s="82">
        <f t="shared" si="7"/>
        <v>1160.576594434097</v>
      </c>
      <c r="AE8" s="82">
        <f t="shared" si="2"/>
        <v>4.33849060209558</v>
      </c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</row>
    <row r="9" spans="1:52" s="68" customFormat="1" ht="15">
      <c r="A9" s="8"/>
      <c r="B9" s="8"/>
      <c r="C9" s="78">
        <v>9</v>
      </c>
      <c r="D9" s="78">
        <v>0.9</v>
      </c>
      <c r="E9" s="148"/>
      <c r="F9" s="148"/>
      <c r="G9" s="148"/>
      <c r="H9" s="142"/>
      <c r="I9" s="143"/>
      <c r="J9" s="83">
        <v>1688.97</v>
      </c>
      <c r="K9" s="83">
        <f>H5-J9</f>
        <v>3583.38</v>
      </c>
      <c r="L9" s="82">
        <f>(K9*E5)/D9</f>
        <v>995.3833333333333</v>
      </c>
      <c r="M9" s="80">
        <f t="shared" si="3"/>
        <v>3.2276219355685414</v>
      </c>
      <c r="N9" s="80">
        <f t="shared" si="0"/>
        <v>2.997990364655982</v>
      </c>
      <c r="O9" s="8"/>
      <c r="P9" s="84"/>
      <c r="Q9" s="84"/>
      <c r="R9" s="84"/>
      <c r="S9" s="84"/>
      <c r="T9" s="84"/>
      <c r="U9" s="84"/>
      <c r="V9" s="84"/>
      <c r="W9" s="84"/>
      <c r="X9" s="84"/>
      <c r="Y9" s="83">
        <v>1688.97</v>
      </c>
      <c r="Z9" s="85">
        <f t="shared" si="4"/>
        <v>0.18604305036185373</v>
      </c>
      <c r="AA9" s="8">
        <f t="shared" si="5"/>
        <v>4.819477976251241E-15</v>
      </c>
      <c r="AB9" s="88">
        <f t="shared" si="6"/>
        <v>5.3751</v>
      </c>
      <c r="AC9" s="82">
        <f t="shared" si="1"/>
        <v>995.3833333333333</v>
      </c>
      <c r="AD9" s="82">
        <f t="shared" si="7"/>
        <v>1075.9464720523217</v>
      </c>
      <c r="AE9" s="82">
        <f t="shared" si="2"/>
        <v>8.093679693148877</v>
      </c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</row>
    <row r="10" spans="1:52" s="68" customFormat="1" ht="15">
      <c r="A10" s="8"/>
      <c r="B10" s="8"/>
      <c r="C10" s="78">
        <v>10</v>
      </c>
      <c r="D10" s="78">
        <v>1</v>
      </c>
      <c r="E10" s="148"/>
      <c r="F10" s="148"/>
      <c r="G10" s="148"/>
      <c r="H10" s="142"/>
      <c r="I10" s="143"/>
      <c r="J10" s="83">
        <v>1545.16</v>
      </c>
      <c r="K10" s="83">
        <f>H5-J10</f>
        <v>3727.1900000000005</v>
      </c>
      <c r="L10" s="82">
        <f>(K10*E5)/D10</f>
        <v>931.7975000000001</v>
      </c>
      <c r="M10" s="80">
        <f t="shared" si="3"/>
        <v>3.1889734569125134</v>
      </c>
      <c r="N10" s="80">
        <f t="shared" si="0"/>
        <v>2.969321540907586</v>
      </c>
      <c r="O10" s="8"/>
      <c r="P10" s="84"/>
      <c r="Q10" s="84"/>
      <c r="R10" s="84"/>
      <c r="S10" s="84"/>
      <c r="T10" s="84"/>
      <c r="U10" s="84"/>
      <c r="V10" s="84"/>
      <c r="W10" s="84"/>
      <c r="X10" s="84"/>
      <c r="Y10" s="83">
        <v>1545.16</v>
      </c>
      <c r="Z10" s="85">
        <f t="shared" si="4"/>
        <v>0.18604305036185373</v>
      </c>
      <c r="AA10" s="8">
        <f t="shared" si="5"/>
        <v>4.819477976251241E-15</v>
      </c>
      <c r="AB10" s="88">
        <f t="shared" si="6"/>
        <v>5.3751</v>
      </c>
      <c r="AC10" s="82">
        <f t="shared" si="1"/>
        <v>931.7975000000001</v>
      </c>
      <c r="AD10" s="82">
        <f t="shared" si="7"/>
        <v>666.8854286494402</v>
      </c>
      <c r="AE10" s="82">
        <f t="shared" si="2"/>
        <v>28.430219157119428</v>
      </c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</row>
    <row r="11" spans="3:52" ht="15">
      <c r="C11" s="78">
        <v>11</v>
      </c>
      <c r="D11" s="78">
        <v>2</v>
      </c>
      <c r="E11" s="149"/>
      <c r="F11" s="149"/>
      <c r="G11" s="149"/>
      <c r="H11" s="144"/>
      <c r="I11" s="145"/>
      <c r="J11" s="83">
        <v>1497.23</v>
      </c>
      <c r="K11" s="83">
        <f>H5-J11</f>
        <v>3775.1200000000003</v>
      </c>
      <c r="L11" s="82">
        <f>(K11*E5)/D11</f>
        <v>471.89000000000004</v>
      </c>
      <c r="M11" s="80">
        <f t="shared" si="3"/>
        <v>3.1752885204888224</v>
      </c>
      <c r="N11" s="80">
        <f t="shared" si="0"/>
        <v>2.673840774141349</v>
      </c>
      <c r="P11" s="84"/>
      <c r="Q11" s="84"/>
      <c r="R11" s="84"/>
      <c r="S11" s="84"/>
      <c r="T11" s="84"/>
      <c r="U11" s="84"/>
      <c r="V11" s="84"/>
      <c r="W11" s="84"/>
      <c r="X11" s="84"/>
      <c r="Y11" s="83">
        <v>1497.23</v>
      </c>
      <c r="Z11" s="85">
        <f t="shared" si="4"/>
        <v>0.18604305036185373</v>
      </c>
      <c r="AA11" s="8">
        <f t="shared" si="5"/>
        <v>4.819477976251241E-15</v>
      </c>
      <c r="AB11" s="88">
        <f t="shared" si="6"/>
        <v>5.3751</v>
      </c>
      <c r="AC11" s="82">
        <f t="shared" si="1"/>
        <v>471.89000000000004</v>
      </c>
      <c r="AD11" s="82">
        <f t="shared" si="7"/>
        <v>562.980466373504</v>
      </c>
      <c r="AE11" s="82">
        <f t="shared" si="2"/>
        <v>19.303326278052925</v>
      </c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</row>
    <row r="12" spans="16:52" ht="15">
      <c r="P12" s="84"/>
      <c r="Q12" s="84"/>
      <c r="R12" s="84"/>
      <c r="S12" s="84"/>
      <c r="T12" s="84"/>
      <c r="U12" s="84"/>
      <c r="V12" s="84"/>
      <c r="W12" s="84"/>
      <c r="X12" s="84"/>
      <c r="Y12" s="104" t="s">
        <v>117</v>
      </c>
      <c r="Z12" s="105"/>
      <c r="AA12" s="105"/>
      <c r="AB12" s="105"/>
      <c r="AC12" s="105"/>
      <c r="AD12" s="106"/>
      <c r="AE12" s="102">
        <f>AVERAGE(AE5:AE11)</f>
        <v>17.882756091629357</v>
      </c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</row>
    <row r="13" spans="16:52" ht="15">
      <c r="P13" s="84"/>
      <c r="Q13" s="84"/>
      <c r="R13" s="84"/>
      <c r="S13" s="84"/>
      <c r="T13" s="84"/>
      <c r="U13" s="84"/>
      <c r="V13" s="84"/>
      <c r="W13" s="84"/>
      <c r="X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</row>
    <row r="14" spans="4:59" ht="15">
      <c r="D14" s="8" t="s">
        <v>124</v>
      </c>
      <c r="P14" s="84"/>
      <c r="Q14" s="84"/>
      <c r="R14" s="84"/>
      <c r="S14" s="84"/>
      <c r="T14" s="84"/>
      <c r="U14" s="84"/>
      <c r="V14" s="84"/>
      <c r="W14" s="84"/>
      <c r="X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</row>
    <row r="15" spans="16:59" ht="15">
      <c r="P15" s="84"/>
      <c r="V15" s="84"/>
      <c r="W15" s="84"/>
      <c r="X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</row>
    <row r="16" spans="1:59" s="68" customFormat="1" ht="15">
      <c r="A16" s="8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71"/>
      <c r="S16" s="71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</row>
    <row r="17" spans="17:51" ht="15">
      <c r="Q17" s="84"/>
      <c r="R17" s="84"/>
      <c r="S17" s="84"/>
      <c r="T17" s="84"/>
      <c r="U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</row>
    <row r="20" ht="15">
      <c r="X20" s="8">
        <f>LOG(1,739)</f>
        <v>0</v>
      </c>
    </row>
    <row r="21" ht="15">
      <c r="X21" s="8">
        <v>9</v>
      </c>
    </row>
    <row r="22" spans="2:24" ht="15">
      <c r="B22" s="146" t="s">
        <v>118</v>
      </c>
      <c r="C22" s="146"/>
      <c r="D22" s="146"/>
      <c r="P22" s="84"/>
      <c r="Q22" s="84"/>
      <c r="R22" s="84"/>
      <c r="S22" s="84"/>
      <c r="T22" s="84"/>
      <c r="U22" s="84"/>
      <c r="V22" s="84"/>
      <c r="W22" s="84"/>
      <c r="X22" s="84"/>
    </row>
    <row r="23" spans="3:31" ht="15">
      <c r="C23" s="88" t="s">
        <v>80</v>
      </c>
      <c r="D23" s="88" t="s">
        <v>107</v>
      </c>
      <c r="E23" s="88" t="s">
        <v>108</v>
      </c>
      <c r="F23" s="88" t="s">
        <v>100</v>
      </c>
      <c r="G23" s="88" t="s">
        <v>104</v>
      </c>
      <c r="H23" s="88" t="s">
        <v>95</v>
      </c>
      <c r="I23" s="88"/>
      <c r="J23" s="88" t="s">
        <v>96</v>
      </c>
      <c r="K23" s="88" t="s">
        <v>97</v>
      </c>
      <c r="L23" s="88" t="s">
        <v>109</v>
      </c>
      <c r="M23" s="85" t="s">
        <v>119</v>
      </c>
      <c r="P23" s="84"/>
      <c r="Q23" s="84"/>
      <c r="R23" s="84"/>
      <c r="S23" s="84"/>
      <c r="T23" s="84"/>
      <c r="U23" s="84"/>
      <c r="V23" s="84"/>
      <c r="W23" s="84"/>
      <c r="X23" s="84"/>
      <c r="Y23" s="88" t="s">
        <v>96</v>
      </c>
      <c r="Z23" s="88" t="s">
        <v>123</v>
      </c>
      <c r="AA23" s="88" t="s">
        <v>120</v>
      </c>
      <c r="AB23" s="80" t="s">
        <v>125</v>
      </c>
      <c r="AC23" s="100" t="s">
        <v>114</v>
      </c>
      <c r="AD23" s="100" t="s">
        <v>115</v>
      </c>
      <c r="AE23" s="100" t="s">
        <v>121</v>
      </c>
    </row>
    <row r="24" spans="3:31" ht="15">
      <c r="C24" s="89">
        <v>2</v>
      </c>
      <c r="D24" s="89">
        <v>0.2</v>
      </c>
      <c r="E24" s="91">
        <v>0.25</v>
      </c>
      <c r="F24" s="91">
        <v>3</v>
      </c>
      <c r="G24" s="91">
        <v>10</v>
      </c>
      <c r="H24" s="94">
        <v>5272.35</v>
      </c>
      <c r="I24" s="95"/>
      <c r="J24" s="11">
        <v>2119.58</v>
      </c>
      <c r="K24" s="82">
        <f>H24-J24</f>
        <v>3152.7700000000004</v>
      </c>
      <c r="L24" s="82">
        <f>(K24*E24)/D24</f>
        <v>3940.9625000000005</v>
      </c>
      <c r="M24" s="80">
        <f aca="true" t="shared" si="8" ref="M24:M30">J24/L24</f>
        <v>0.5378330801168495</v>
      </c>
      <c r="Y24" s="82">
        <f aca="true" t="shared" si="9" ref="Y24:Y30">J24</f>
        <v>2119.58</v>
      </c>
      <c r="Z24" s="8">
        <f>1/(AA24*7.4245)</f>
        <v>-0.00044447437537881336</v>
      </c>
      <c r="AA24" s="82">
        <f>1/(-0.0033)</f>
        <v>-303.03030303030306</v>
      </c>
      <c r="AB24" s="80">
        <f>1/AA24</f>
        <v>-0.0032999999999999995</v>
      </c>
      <c r="AC24" s="82">
        <f aca="true" t="shared" si="10" ref="AC24:AC30">L24</f>
        <v>3940.9625000000005</v>
      </c>
      <c r="AD24" s="82">
        <f>(Z24*AA24*Y24)/(1+(Z24*Y24))</f>
        <v>4930.56298646617</v>
      </c>
      <c r="AE24" s="82">
        <f aca="true" t="shared" si="11" ref="AE24:AE30">ABS(AC24-AD24)*100/AC24</f>
        <v>25.1106293568175</v>
      </c>
    </row>
    <row r="25" spans="3:31" ht="15">
      <c r="C25" s="89">
        <v>4</v>
      </c>
      <c r="D25" s="89">
        <v>0.4</v>
      </c>
      <c r="E25" s="92"/>
      <c r="F25" s="92"/>
      <c r="G25" s="92"/>
      <c r="H25" s="96"/>
      <c r="I25" s="97"/>
      <c r="J25" s="14">
        <v>1844.21</v>
      </c>
      <c r="K25" s="82">
        <f>H24-J25</f>
        <v>3428.1400000000003</v>
      </c>
      <c r="L25" s="82">
        <f>(K25*E24)/D25</f>
        <v>2142.5875</v>
      </c>
      <c r="M25" s="80">
        <f t="shared" si="8"/>
        <v>0.8607396430717532</v>
      </c>
      <c r="Y25" s="82">
        <f t="shared" si="9"/>
        <v>1844.21</v>
      </c>
      <c r="Z25" s="8">
        <f aca="true" t="shared" si="12" ref="Z25:Z30">1/(AA25*7.4245)</f>
        <v>-0.00044447437537881336</v>
      </c>
      <c r="AA25" s="82">
        <f aca="true" t="shared" si="13" ref="AA25:AA30">1/(-0.0033)</f>
        <v>-303.03030303030306</v>
      </c>
      <c r="AB25" s="80">
        <f aca="true" t="shared" si="14" ref="AB25:AB30">1/AA25</f>
        <v>-0.0032999999999999995</v>
      </c>
      <c r="AC25" s="82">
        <f t="shared" si="10"/>
        <v>2142.5875</v>
      </c>
      <c r="AD25" s="82">
        <f aca="true" t="shared" si="15" ref="AD25:AD30">(Z25*AA25*Y25)/(1+(Z25*Y25))</f>
        <v>1377.7083191706</v>
      </c>
      <c r="AE25" s="82">
        <f t="shared" si="11"/>
        <v>35.698853877818294</v>
      </c>
    </row>
    <row r="26" spans="3:31" ht="15">
      <c r="C26" s="78">
        <v>7</v>
      </c>
      <c r="D26" s="78">
        <v>0.7</v>
      </c>
      <c r="E26" s="92"/>
      <c r="F26" s="92"/>
      <c r="G26" s="92"/>
      <c r="H26" s="96"/>
      <c r="I26" s="97"/>
      <c r="J26" s="79">
        <v>1837.81</v>
      </c>
      <c r="K26" s="82">
        <f>H24-J26</f>
        <v>3434.5400000000004</v>
      </c>
      <c r="L26" s="82">
        <f>(K26*E24)/D26</f>
        <v>1226.6214285714289</v>
      </c>
      <c r="M26" s="80">
        <f t="shared" si="8"/>
        <v>1.4982699284329193</v>
      </c>
      <c r="Y26" s="82">
        <f t="shared" si="9"/>
        <v>1837.81</v>
      </c>
      <c r="Z26" s="8">
        <f t="shared" si="12"/>
        <v>-0.00044447437537881336</v>
      </c>
      <c r="AA26" s="82">
        <f t="shared" si="13"/>
        <v>-303.03030303030306</v>
      </c>
      <c r="AB26" s="80">
        <f t="shared" si="14"/>
        <v>-0.0032999999999999995</v>
      </c>
      <c r="AC26" s="82">
        <f t="shared" si="10"/>
        <v>1226.6214285714289</v>
      </c>
      <c r="AD26" s="82">
        <f t="shared" si="15"/>
        <v>1351.6021966174083</v>
      </c>
      <c r="AE26" s="82">
        <f t="shared" si="11"/>
        <v>10.18902532882838</v>
      </c>
    </row>
    <row r="27" spans="3:31" ht="15">
      <c r="C27" s="78">
        <v>8</v>
      </c>
      <c r="D27" s="78">
        <v>0.8</v>
      </c>
      <c r="E27" s="92"/>
      <c r="F27" s="92"/>
      <c r="G27" s="92"/>
      <c r="H27" s="96"/>
      <c r="I27" s="97"/>
      <c r="J27" s="79">
        <v>1712.93</v>
      </c>
      <c r="K27" s="82">
        <f>H24-J27</f>
        <v>3559.42</v>
      </c>
      <c r="L27" s="82">
        <f>(K27*E24)/D27</f>
        <v>1112.31875</v>
      </c>
      <c r="M27" s="80">
        <f t="shared" si="8"/>
        <v>1.5399632524400044</v>
      </c>
      <c r="Y27" s="82">
        <f t="shared" si="9"/>
        <v>1712.93</v>
      </c>
      <c r="Z27" s="8">
        <f t="shared" si="12"/>
        <v>-0.00044447437537881336</v>
      </c>
      <c r="AA27" s="82">
        <f t="shared" si="13"/>
        <v>-303.03030303030306</v>
      </c>
      <c r="AB27" s="80">
        <f t="shared" si="14"/>
        <v>-0.0032999999999999995</v>
      </c>
      <c r="AC27" s="82">
        <f t="shared" si="10"/>
        <v>1112.31875</v>
      </c>
      <c r="AD27" s="82">
        <f t="shared" si="15"/>
        <v>966.7569875456519</v>
      </c>
      <c r="AE27" s="82">
        <f t="shared" si="11"/>
        <v>13.086335410092477</v>
      </c>
    </row>
    <row r="28" spans="3:31" ht="15">
      <c r="C28" s="78">
        <v>9</v>
      </c>
      <c r="D28" s="78">
        <v>0.9</v>
      </c>
      <c r="E28" s="92"/>
      <c r="F28" s="92"/>
      <c r="G28" s="92"/>
      <c r="H28" s="96"/>
      <c r="I28" s="97"/>
      <c r="J28" s="90">
        <v>1688.97</v>
      </c>
      <c r="K28" s="90">
        <f>H24-J28</f>
        <v>3583.38</v>
      </c>
      <c r="L28" s="82">
        <f>(K28*E24)/D28</f>
        <v>995.3833333333333</v>
      </c>
      <c r="M28" s="80">
        <f t="shared" si="8"/>
        <v>1.6968035765115617</v>
      </c>
      <c r="Y28" s="82">
        <f t="shared" si="9"/>
        <v>1688.97</v>
      </c>
      <c r="Z28" s="8">
        <f t="shared" si="12"/>
        <v>-0.00044447437537881336</v>
      </c>
      <c r="AA28" s="82">
        <f t="shared" si="13"/>
        <v>-303.03030303030306</v>
      </c>
      <c r="AB28" s="80">
        <f t="shared" si="14"/>
        <v>-0.0032999999999999995</v>
      </c>
      <c r="AC28" s="82">
        <f t="shared" si="10"/>
        <v>995.3833333333333</v>
      </c>
      <c r="AD28" s="82">
        <f t="shared" si="15"/>
        <v>912.5133246060426</v>
      </c>
      <c r="AE28" s="82">
        <f t="shared" si="11"/>
        <v>8.325436638543684</v>
      </c>
    </row>
    <row r="29" spans="3:31" ht="15">
      <c r="C29" s="78">
        <v>10</v>
      </c>
      <c r="D29" s="78">
        <v>1</v>
      </c>
      <c r="E29" s="92"/>
      <c r="F29" s="92"/>
      <c r="G29" s="92"/>
      <c r="H29" s="96"/>
      <c r="I29" s="97"/>
      <c r="J29" s="90">
        <v>1545.16</v>
      </c>
      <c r="K29" s="90">
        <f>H24-J29</f>
        <v>3727.1900000000005</v>
      </c>
      <c r="L29" s="82">
        <f>(K29*E24)/D29</f>
        <v>931.7975000000001</v>
      </c>
      <c r="M29" s="80">
        <f t="shared" si="8"/>
        <v>1.658257293027723</v>
      </c>
      <c r="Y29" s="82">
        <f t="shared" si="9"/>
        <v>1545.16</v>
      </c>
      <c r="Z29" s="8">
        <f t="shared" si="12"/>
        <v>-0.00044447437537881336</v>
      </c>
      <c r="AA29" s="82">
        <f t="shared" si="13"/>
        <v>-303.03030303030306</v>
      </c>
      <c r="AB29" s="80">
        <f t="shared" si="14"/>
        <v>-0.0032999999999999995</v>
      </c>
      <c r="AC29" s="82">
        <f t="shared" si="10"/>
        <v>931.7975000000001</v>
      </c>
      <c r="AD29" s="82">
        <f t="shared" si="15"/>
        <v>664.4500557306214</v>
      </c>
      <c r="AE29" s="82">
        <f t="shared" si="11"/>
        <v>28.691582051827638</v>
      </c>
    </row>
    <row r="30" spans="3:31" ht="15">
      <c r="C30" s="78">
        <v>11</v>
      </c>
      <c r="D30" s="78">
        <v>2</v>
      </c>
      <c r="E30" s="93"/>
      <c r="F30" s="93"/>
      <c r="G30" s="93"/>
      <c r="H30" s="98"/>
      <c r="I30" s="99"/>
      <c r="J30" s="90">
        <v>1497.23</v>
      </c>
      <c r="K30" s="90">
        <f>H24-J30</f>
        <v>3775.1200000000003</v>
      </c>
      <c r="L30" s="82">
        <f>(K30*E24)/D30</f>
        <v>471.89000000000004</v>
      </c>
      <c r="M30" s="80">
        <f t="shared" si="8"/>
        <v>3.172836889953167</v>
      </c>
      <c r="Y30" s="82">
        <f t="shared" si="9"/>
        <v>1497.23</v>
      </c>
      <c r="Z30" s="8">
        <f t="shared" si="12"/>
        <v>-0.00044447437537881336</v>
      </c>
      <c r="AA30" s="82">
        <f t="shared" si="13"/>
        <v>-303.03030303030306</v>
      </c>
      <c r="AB30" s="80">
        <f t="shared" si="14"/>
        <v>-0.0032999999999999995</v>
      </c>
      <c r="AC30" s="82">
        <f t="shared" si="10"/>
        <v>471.89000000000004</v>
      </c>
      <c r="AD30" s="82">
        <f t="shared" si="15"/>
        <v>602.8367223765431</v>
      </c>
      <c r="AE30" s="82">
        <f t="shared" si="11"/>
        <v>27.749416681121247</v>
      </c>
    </row>
    <row r="31" spans="25:31" ht="15">
      <c r="Y31" s="71"/>
      <c r="Z31" s="71"/>
      <c r="AA31" s="71"/>
      <c r="AC31" s="71"/>
      <c r="AD31" s="86" t="s">
        <v>117</v>
      </c>
      <c r="AE31" s="87">
        <f>AVERAGE(AE24:AE30)</f>
        <v>21.26446847786417</v>
      </c>
    </row>
  </sheetData>
  <mergeCells count="7">
    <mergeCell ref="B22:D22"/>
    <mergeCell ref="B3:D3"/>
    <mergeCell ref="H4:I4"/>
    <mergeCell ref="E5:E11"/>
    <mergeCell ref="F5:F11"/>
    <mergeCell ref="G5:G11"/>
    <mergeCell ref="H5:I11"/>
  </mergeCells>
  <printOptions/>
  <pageMargins left="0.7" right="0.7" top="0.75" bottom="0.75" header="0.3" footer="0.3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dcterms:created xsi:type="dcterms:W3CDTF">2020-10-16T17:04:52Z</dcterms:created>
  <dcterms:modified xsi:type="dcterms:W3CDTF">2021-03-05T04:50:10Z</dcterms:modified>
  <cp:category/>
  <cp:version/>
  <cp:contentType/>
  <cp:contentStatus/>
</cp:coreProperties>
</file>