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ri elitebook all - 19 juli 2025 pagi\DARI SEMEN UBAH JADI PASIR ATAU FINE AGREGAT\jurnal presipitasi tl limbah cangkang kerang\pengerjaan jurnal lanjut di bulan 18 juni 2025 (lanjut 23)\DATA PENDUKUNG UNTUK JURNAL\PENGUMPULAN 1\"/>
    </mc:Choice>
  </mc:AlternateContent>
  <xr:revisionPtr revIDLastSave="0" documentId="13_ncr:1_{9F4A98D1-8650-4117-ABC6-10E82CDB2F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MS Waste Production" sheetId="19" r:id="rId1"/>
    <sheet name="PCPB Testing" sheetId="17" r:id="rId2"/>
    <sheet name="Recapitulations" sheetId="1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8" l="1"/>
  <c r="I17" i="18"/>
  <c r="H17" i="18"/>
  <c r="G17" i="18"/>
  <c r="F17" i="18"/>
  <c r="D17" i="18"/>
  <c r="C17" i="18"/>
  <c r="E13" i="18"/>
  <c r="E17" i="18" s="1"/>
  <c r="J16" i="19"/>
  <c r="I16" i="19"/>
  <c r="H16" i="19"/>
  <c r="G16" i="19"/>
  <c r="F16" i="19"/>
  <c r="D16" i="19"/>
  <c r="C16" i="19"/>
  <c r="E12" i="19"/>
  <c r="E16" i="19" s="1"/>
  <c r="J18" i="18" l="1"/>
  <c r="J17" i="19"/>
  <c r="J61" i="17"/>
  <c r="I61" i="17"/>
  <c r="H61" i="17"/>
  <c r="E61" i="17"/>
  <c r="F40" i="17"/>
  <c r="H40" i="17" s="1"/>
  <c r="F19" i="17"/>
  <c r="E19" i="17"/>
  <c r="J60" i="17"/>
  <c r="I60" i="17"/>
  <c r="H60" i="17"/>
  <c r="E60" i="17"/>
  <c r="F39" i="17"/>
  <c r="H39" i="17" s="1"/>
  <c r="F18" i="17"/>
  <c r="E18" i="17"/>
  <c r="J59" i="17"/>
  <c r="I59" i="17"/>
  <c r="H59" i="17"/>
  <c r="E59" i="17"/>
  <c r="F38" i="17"/>
  <c r="H38" i="17" s="1"/>
  <c r="F17" i="17"/>
  <c r="E17" i="17"/>
  <c r="J58" i="17"/>
  <c r="I58" i="17"/>
  <c r="H58" i="17"/>
  <c r="E58" i="17"/>
  <c r="F37" i="17"/>
  <c r="H37" i="17" s="1"/>
  <c r="F16" i="17"/>
  <c r="E16" i="17"/>
  <c r="J57" i="17"/>
  <c r="I57" i="17"/>
  <c r="H57" i="17"/>
  <c r="E57" i="17"/>
  <c r="F36" i="17"/>
  <c r="H36" i="17" s="1"/>
  <c r="F15" i="17"/>
  <c r="E15" i="17"/>
  <c r="J56" i="17"/>
  <c r="I56" i="17"/>
  <c r="H56" i="17"/>
  <c r="E56" i="17"/>
  <c r="F35" i="17"/>
  <c r="H35" i="17" s="1"/>
  <c r="F14" i="17"/>
  <c r="E14" i="17"/>
  <c r="J55" i="17"/>
  <c r="I55" i="17"/>
  <c r="H55" i="17"/>
  <c r="E55" i="17"/>
  <c r="F34" i="17"/>
  <c r="H34" i="17" s="1"/>
  <c r="F13" i="17"/>
  <c r="E13" i="17"/>
  <c r="J54" i="17"/>
  <c r="I54" i="17"/>
  <c r="H54" i="17"/>
  <c r="E54" i="17"/>
  <c r="F33" i="17"/>
  <c r="H33" i="17" s="1"/>
  <c r="F12" i="17"/>
  <c r="E12" i="17"/>
  <c r="J53" i="17"/>
  <c r="I53" i="17"/>
  <c r="H53" i="17"/>
  <c r="E53" i="17"/>
  <c r="F32" i="17"/>
  <c r="H32" i="17" s="1"/>
  <c r="F11" i="17"/>
  <c r="E11" i="17"/>
  <c r="J52" i="17"/>
  <c r="I52" i="17"/>
  <c r="H52" i="17"/>
  <c r="E52" i="17"/>
  <c r="F31" i="17"/>
  <c r="H31" i="17" s="1"/>
  <c r="F10" i="17"/>
  <c r="E10" i="17"/>
  <c r="J51" i="17"/>
  <c r="I51" i="17"/>
  <c r="H51" i="17"/>
  <c r="E51" i="17"/>
  <c r="F30" i="17"/>
  <c r="H30" i="17" s="1"/>
  <c r="F9" i="17"/>
  <c r="E9" i="17"/>
  <c r="J50" i="17"/>
  <c r="I50" i="17"/>
  <c r="H50" i="17"/>
  <c r="E50" i="17"/>
  <c r="F29" i="17"/>
  <c r="H29" i="17" s="1"/>
  <c r="F8" i="17"/>
  <c r="E8" i="17"/>
  <c r="J49" i="17"/>
  <c r="I49" i="17"/>
  <c r="H49" i="17"/>
  <c r="E49" i="17"/>
  <c r="F28" i="17"/>
  <c r="H28" i="17" s="1"/>
  <c r="F7" i="17"/>
  <c r="E7" i="17"/>
  <c r="G7" i="17" s="1"/>
  <c r="J48" i="17"/>
  <c r="I48" i="17"/>
  <c r="H48" i="17"/>
  <c r="E48" i="17"/>
  <c r="F27" i="17"/>
  <c r="H27" i="17" s="1"/>
  <c r="F6" i="17"/>
  <c r="E6" i="17"/>
  <c r="J47" i="17"/>
  <c r="I47" i="17"/>
  <c r="H47" i="17"/>
  <c r="E47" i="17"/>
  <c r="F26" i="17"/>
  <c r="H26" i="17" s="1"/>
  <c r="F5" i="17"/>
  <c r="E5" i="17"/>
  <c r="K53" i="17" l="1"/>
  <c r="G5" i="17"/>
  <c r="G10" i="17"/>
  <c r="K51" i="17"/>
  <c r="G12" i="17"/>
  <c r="K54" i="17"/>
  <c r="G13" i="17"/>
  <c r="K56" i="17"/>
  <c r="G15" i="17"/>
  <c r="K58" i="17"/>
  <c r="G17" i="17"/>
  <c r="K61" i="17"/>
  <c r="K48" i="17"/>
  <c r="G6" i="17"/>
  <c r="I5" i="17" s="1"/>
  <c r="O10" i="17" s="1"/>
  <c r="D35" i="18" s="1"/>
  <c r="G8" i="17"/>
  <c r="G9" i="17"/>
  <c r="K52" i="17"/>
  <c r="G11" i="17"/>
  <c r="I32" i="17"/>
  <c r="O20" i="17" s="1"/>
  <c r="D45" i="18" s="1"/>
  <c r="G14" i="17"/>
  <c r="I35" i="17"/>
  <c r="O21" i="17" s="1"/>
  <c r="D46" i="18" s="1"/>
  <c r="K57" i="17"/>
  <c r="G16" i="17"/>
  <c r="G18" i="17"/>
  <c r="K60" i="17"/>
  <c r="G19" i="17"/>
  <c r="K47" i="17"/>
  <c r="K49" i="17"/>
  <c r="K50" i="17"/>
  <c r="L50" i="17" s="1"/>
  <c r="O27" i="17" s="1"/>
  <c r="D52" i="18" s="1"/>
  <c r="K55" i="17"/>
  <c r="K59" i="17"/>
  <c r="I26" i="17"/>
  <c r="O18" i="17" s="1"/>
  <c r="D43" i="18" s="1"/>
  <c r="I29" i="17"/>
  <c r="O19" i="17" s="1"/>
  <c r="D44" i="18" s="1"/>
  <c r="I38" i="17"/>
  <c r="O22" i="17" s="1"/>
  <c r="D47" i="18" s="1"/>
  <c r="L56" i="17" l="1"/>
  <c r="O29" i="17" s="1"/>
  <c r="D54" i="18" s="1"/>
  <c r="L53" i="17"/>
  <c r="O28" i="17" s="1"/>
  <c r="D53" i="18" s="1"/>
  <c r="L47" i="17"/>
  <c r="O26" i="17" s="1"/>
  <c r="D51" i="18" s="1"/>
  <c r="I8" i="17"/>
  <c r="O11" i="17" s="1"/>
  <c r="D36" i="18" s="1"/>
  <c r="L59" i="17"/>
  <c r="O30" i="17" s="1"/>
  <c r="D55" i="18" s="1"/>
  <c r="I17" i="17"/>
  <c r="O14" i="17" s="1"/>
  <c r="D39" i="18" s="1"/>
  <c r="I11" i="17"/>
  <c r="O12" i="17" s="1"/>
  <c r="D37" i="18" s="1"/>
  <c r="I14" i="17"/>
  <c r="O13" i="17" s="1"/>
  <c r="D38" i="18" s="1"/>
</calcChain>
</file>

<file path=xl/sharedStrings.xml><?xml version="1.0" encoding="utf-8"?>
<sst xmlns="http://schemas.openxmlformats.org/spreadsheetml/2006/main" count="151" uniqueCount="82">
  <si>
    <t>Total</t>
  </si>
  <si>
    <t>Fine aggregate</t>
  </si>
  <si>
    <t>Coarse aggregate</t>
  </si>
  <si>
    <t xml:space="preserve">Compressive strength </t>
  </si>
  <si>
    <t>Maximum load (KN)</t>
  </si>
  <si>
    <t>Conversion value maximum load (N)</t>
  </si>
  <si>
    <t>Cross-sectional area of specimens (mm2)</t>
  </si>
  <si>
    <t>Results  (MPa)</t>
  </si>
  <si>
    <t>Test date</t>
  </si>
  <si>
    <t>Average (MPa)</t>
  </si>
  <si>
    <t>Porosity</t>
  </si>
  <si>
    <t>Mass of specimens in water (g)</t>
  </si>
  <si>
    <t>Dried mass of specimens in air (g)</t>
  </si>
  <si>
    <t>Volume of specimen (cm^3)</t>
  </si>
  <si>
    <t>Density of water at 20°C (g/cm^3)</t>
  </si>
  <si>
    <t>Result (%)</t>
  </si>
  <si>
    <t>Average (%)</t>
  </si>
  <si>
    <t>Permeability</t>
  </si>
  <si>
    <t>Thickness (cm)</t>
  </si>
  <si>
    <t>Area of the reservoir (cm^2)</t>
  </si>
  <si>
    <t>Time taken for the start and final (s)</t>
  </si>
  <si>
    <t>Area of the specimen (cm^2)</t>
  </si>
  <si>
    <t>Water level of start and finish  (cm)</t>
  </si>
  <si>
    <t>Result (cm/s)</t>
  </si>
  <si>
    <t>Average (cm/s)</t>
  </si>
  <si>
    <t>No.</t>
  </si>
  <si>
    <t>Properties of pervious concrete paver blocks</t>
  </si>
  <si>
    <t>Reference</t>
  </si>
  <si>
    <t>Replacement Level (%)</t>
  </si>
  <si>
    <t>P</t>
  </si>
  <si>
    <t>L</t>
  </si>
  <si>
    <t xml:space="preserve">m1 </t>
  </si>
  <si>
    <t>m2</t>
  </si>
  <si>
    <t>v</t>
  </si>
  <si>
    <t>p</t>
  </si>
  <si>
    <t>a</t>
  </si>
  <si>
    <t>t1</t>
  </si>
  <si>
    <t>t2</t>
  </si>
  <si>
    <t>A</t>
  </si>
  <si>
    <t xml:space="preserve">h1 </t>
  </si>
  <si>
    <t>h2</t>
  </si>
  <si>
    <t>SNI-03-0691-1996</t>
  </si>
  <si>
    <t>Zhang et al 2023</t>
  </si>
  <si>
    <t>Akkaya et al 2021</t>
  </si>
  <si>
    <t>GMS0</t>
  </si>
  <si>
    <t>GMS6</t>
  </si>
  <si>
    <t>GMS12</t>
  </si>
  <si>
    <t>GMS18</t>
  </si>
  <si>
    <t xml:space="preserve">GMS24 </t>
  </si>
  <si>
    <t xml:space="preserve">1. Compressive strength </t>
  </si>
  <si>
    <t>2. Porosity</t>
  </si>
  <si>
    <t>3. Permeability</t>
  </si>
  <si>
    <t>GMS24</t>
  </si>
  <si>
    <t xml:space="preserve">Material </t>
  </si>
  <si>
    <t xml:space="preserve">Water </t>
  </si>
  <si>
    <t>Replacement level (%)</t>
  </si>
  <si>
    <t xml:space="preserve">Cement-PPC </t>
  </si>
  <si>
    <t>Green Mussell shell</t>
  </si>
  <si>
    <t>Monday</t>
  </si>
  <si>
    <t>Tuesday</t>
  </si>
  <si>
    <t>Wednesday</t>
  </si>
  <si>
    <t>Thursday</t>
  </si>
  <si>
    <t>Friday</t>
  </si>
  <si>
    <t>Saturday</t>
  </si>
  <si>
    <t>Sunday</t>
  </si>
  <si>
    <t>Average</t>
  </si>
  <si>
    <t>Amount of GMS Waste (kg)/Days</t>
  </si>
  <si>
    <t>1. Green Mussel Shell Waste Production</t>
  </si>
  <si>
    <t>The daily measurement of the green mussel shell waste is performed incrementally, as the scale's maximum capacity is 25 kg.</t>
  </si>
  <si>
    <t>Mon</t>
  </si>
  <si>
    <t>Tue</t>
  </si>
  <si>
    <t>Wed</t>
  </si>
  <si>
    <t>Thu</t>
  </si>
  <si>
    <t>Fri</t>
  </si>
  <si>
    <t>Sat</t>
  </si>
  <si>
    <t>Sun</t>
  </si>
  <si>
    <t>PCPB Variations</t>
  </si>
  <si>
    <t>Result (Mpa)</t>
  </si>
  <si>
    <t>Compressive strength</t>
  </si>
  <si>
    <t xml:space="preserve">Porosity </t>
  </si>
  <si>
    <r>
      <t>2. Mix design of pervious concrete paver blocks (kg/m</t>
    </r>
    <r>
      <rPr>
        <vertAlign val="superscript"/>
        <sz val="20"/>
        <rFont val="Constantia"/>
        <family val="1"/>
      </rPr>
      <t>3</t>
    </r>
    <r>
      <rPr>
        <sz val="20"/>
        <rFont val="Constantia"/>
        <family val="1"/>
      </rPr>
      <t xml:space="preserve">) </t>
    </r>
  </si>
  <si>
    <t>3.  Pervious Concrete Paver Blocks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</si>
</sst>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"/>
    <numFmt numFmtId="167" formatCode="0.000000"/>
  </numFmts>
  <fonts count="7" x14ac:knownFonts="1">
    <font>
      <sz val="11"/>
      <color theme="1"/>
      <name val="Calibri"/>
      <family val="2"/>
      <scheme val="minor"/>
    </font>
    <font>
      <sz val="10"/>
      <name val="Constantia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22"/>
      <name val="Calibri"/>
      <family val="2"/>
      <scheme val="minor"/>
    </font>
    <font>
      <sz val="20"/>
      <name val="Constantia"/>
      <family val="1"/>
    </font>
    <font>
      <vertAlign val="superscript"/>
      <sz val="20"/>
      <name val="Constanti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/>
      <right/>
      <top/>
      <bottom style="medium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0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/>
    <xf numFmtId="165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167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166" fontId="2" fillId="0" borderId="1" xfId="0" applyNumberFormat="1" applyFont="1" applyBorder="1"/>
    <xf numFmtId="165" fontId="2" fillId="0" borderId="1" xfId="0" applyNumberFormat="1" applyFont="1" applyBorder="1"/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/>
    <xf numFmtId="1" fontId="1" fillId="0" borderId="0" xfId="0" applyNumberFormat="1" applyFont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165" fontId="2" fillId="0" borderId="0" xfId="0" applyNumberFormat="1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r>
              <a:rPr lang="id-ID" sz="1000">
                <a:latin typeface="Constantia" panose="02030602050306030303" pitchFamily="18" charset="0"/>
              </a:rPr>
              <a:t>Green Mussel Shell Waste Production</a:t>
            </a:r>
            <a:endParaRPr lang="en-ID" sz="1000">
              <a:latin typeface="Constantia" panose="02030602050306030303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onstantia" panose="02030602050306030303" pitchFamily="18" charset="0"/>
              <a:ea typeface="+mn-ea"/>
              <a:cs typeface="+mn-cs"/>
            </a:defRPr>
          </a:pPr>
          <a:endParaRPr lang="en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flat" cmpd="sng" algn="ctr">
              <a:solidFill>
                <a:schemeClr val="dk1">
                  <a:shade val="15000"/>
                </a:schemeClr>
              </a:solidFill>
              <a:prstDash val="solid"/>
              <a:miter lim="800000"/>
            </a:ln>
            <a:effectLst/>
          </c:spPr>
          <c:marker>
            <c:symbol val="circle"/>
            <c:size val="5"/>
            <c:spPr>
              <a:solidFill>
                <a:schemeClr val="dk1"/>
              </a:solidFill>
              <a:ln w="12700" cap="flat" cmpd="sng" algn="ctr">
                <a:solidFill>
                  <a:schemeClr val="dk1">
                    <a:shade val="15000"/>
                  </a:schemeClr>
                </a:solidFill>
                <a:prstDash val="solid"/>
                <a:miter lim="800000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'GMS Waste Production'!$C$4:$J$4</c:f>
              <c:strCache>
                <c:ptCount val="8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Mon</c:v>
                </c:pt>
              </c:strCache>
            </c:strRef>
          </c:cat>
          <c:val>
            <c:numRef>
              <c:f>'GMS Waste Production'!$C$16:$J$16</c:f>
              <c:numCache>
                <c:formatCode>General</c:formatCode>
                <c:ptCount val="8"/>
                <c:pt idx="0">
                  <c:v>100.08000000000001</c:v>
                </c:pt>
                <c:pt idx="1">
                  <c:v>105.8</c:v>
                </c:pt>
                <c:pt idx="2">
                  <c:v>94.65</c:v>
                </c:pt>
                <c:pt idx="3">
                  <c:v>103.80000000000001</c:v>
                </c:pt>
                <c:pt idx="4">
                  <c:v>53.5</c:v>
                </c:pt>
                <c:pt idx="5">
                  <c:v>64.75</c:v>
                </c:pt>
                <c:pt idx="6">
                  <c:v>77.400000000000006</c:v>
                </c:pt>
                <c:pt idx="7">
                  <c:v>94.25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4-47C5-9AB0-3569544AA4C5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2386304"/>
        <c:axId val="282386696"/>
      </c:lineChart>
      <c:catAx>
        <c:axId val="282386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r>
                  <a:rPr lang="id-ID">
                    <a:latin typeface="Constantia" panose="02030602050306030303" pitchFamily="18" charset="0"/>
                  </a:rPr>
                  <a:t>Days </a:t>
                </a:r>
                <a:endParaRPr lang="en-ID">
                  <a:latin typeface="Constantia" panose="02030602050306030303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nstantia" panose="02030602050306030303" pitchFamily="18" charset="0"/>
                  <a:ea typeface="+mn-ea"/>
                  <a:cs typeface="+mn-cs"/>
                </a:defRPr>
              </a:pPr>
              <a:endParaRPr lang="en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endParaRPr lang="en-US"/>
          </a:p>
        </c:txPr>
        <c:crossAx val="282386696"/>
        <c:crosses val="autoZero"/>
        <c:auto val="1"/>
        <c:lblAlgn val="ctr"/>
        <c:lblOffset val="100"/>
        <c:noMultiLvlLbl val="0"/>
      </c:catAx>
      <c:valAx>
        <c:axId val="282386696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r>
                  <a:rPr lang="id-ID">
                    <a:latin typeface="Constantia" panose="02030602050306030303" pitchFamily="18" charset="0"/>
                  </a:rPr>
                  <a:t>Weight (kg)</a:t>
                </a:r>
                <a:endParaRPr lang="en-ID">
                  <a:latin typeface="Constantia" panose="02030602050306030303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nstantia" panose="02030602050306030303" pitchFamily="18" charset="0"/>
                  <a:ea typeface="+mn-ea"/>
                  <a:cs typeface="+mn-cs"/>
                </a:defRPr>
              </a:pPr>
              <a:endParaRPr lang="en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endParaRPr lang="en-US"/>
          </a:p>
        </c:txPr>
        <c:crossAx val="28238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r>
              <a:rPr lang="en-US" sz="1000">
                <a:latin typeface="Constantia" panose="02030602050306030303" pitchFamily="18" charset="0"/>
              </a:rPr>
              <a:t>Porosit</a:t>
            </a:r>
            <a:r>
              <a:rPr lang="id-ID" sz="1000">
                <a:latin typeface="Constantia" panose="02030602050306030303" pitchFamily="18" charset="0"/>
              </a:rPr>
              <a:t>y</a:t>
            </a:r>
            <a:endParaRPr lang="en-US" sz="1000">
              <a:latin typeface="Constantia" panose="02030602050306030303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onstantia" panose="0203060205030603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'PCPB Testing'!$M$16</c:f>
              <c:strCache>
                <c:ptCount val="1"/>
                <c:pt idx="0">
                  <c:v>Porosity </c:v>
                </c:pt>
              </c:strCache>
            </c:strRef>
          </c:tx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'PCPB Testing'!$N$10:$N$14</c:f>
              <c:strCache>
                <c:ptCount val="5"/>
                <c:pt idx="0">
                  <c:v>GMS0</c:v>
                </c:pt>
                <c:pt idx="1">
                  <c:v>GMS6</c:v>
                </c:pt>
                <c:pt idx="2">
                  <c:v>GMS12</c:v>
                </c:pt>
                <c:pt idx="3">
                  <c:v>GMS18</c:v>
                </c:pt>
                <c:pt idx="4">
                  <c:v>GMS24 </c:v>
                </c:pt>
              </c:strCache>
            </c:strRef>
          </c:cat>
          <c:val>
            <c:numRef>
              <c:f>'PCPB Testing'!$O$18:$O$22</c:f>
              <c:numCache>
                <c:formatCode>0.00</c:formatCode>
                <c:ptCount val="5"/>
                <c:pt idx="0">
                  <c:v>18.649479529428408</c:v>
                </c:pt>
                <c:pt idx="1">
                  <c:v>18.901885736287149</c:v>
                </c:pt>
                <c:pt idx="2">
                  <c:v>18.018464012281562</c:v>
                </c:pt>
                <c:pt idx="3">
                  <c:v>18.321351460512044</c:v>
                </c:pt>
                <c:pt idx="4">
                  <c:v>18.927126356973023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F91-4DB1-83BE-556502BA4F6D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2387872"/>
        <c:axId val="28238865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'PCPB Testing'!$M$8</c15:sqref>
                        </c15:formulaRef>
                      </c:ext>
                    </c:extLst>
                    <c:strCache>
                      <c:ptCount val="1"/>
                      <c:pt idx="0">
                        <c:v>Compressive strength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'PCPB Testing'!$N$10:$N$14</c15:sqref>
                        </c15:formulaRef>
                      </c:ext>
                    </c:extLst>
                    <c:strCache>
                      <c:ptCount val="5"/>
                      <c:pt idx="0">
                        <c:v>GMS0</c:v>
                      </c:pt>
                      <c:pt idx="1">
                        <c:v>GMS6</c:v>
                      </c:pt>
                      <c:pt idx="2">
                        <c:v>GMS12</c:v>
                      </c:pt>
                      <c:pt idx="3">
                        <c:v>GMS18</c:v>
                      </c:pt>
                      <c:pt idx="4">
                        <c:v>GMS24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'PCPB Testing'!$O$10:$O$14</c15:sqref>
                        </c15:formulaRef>
                      </c:ext>
                    </c:extLst>
                    <c:numCache>
                      <c:formatCode>0.00</c:formatCode>
                      <c:ptCount val="5"/>
                      <c:pt idx="0">
                        <c:v>22.222222222222218</c:v>
                      </c:pt>
                      <c:pt idx="1">
                        <c:v>21.466364323507179</c:v>
                      </c:pt>
                      <c:pt idx="2">
                        <c:v>27.210884353741495</c:v>
                      </c:pt>
                      <c:pt idx="3">
                        <c:v>23.582766439909296</c:v>
                      </c:pt>
                      <c:pt idx="4">
                        <c:v>18.745275888133033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F91-4DB1-83BE-556502BA4F6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'PCPB Testing'!$M$24:$O$24</c15:sqref>
                        </c15:formulaRef>
                      </c:ext>
                    </c:extLst>
                    <c:strCache>
                      <c:ptCount val="1"/>
                      <c:pt idx="0">
                        <c:v>Permeability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'PCPB Testing'!$N$10:$N$14</c15:sqref>
                        </c15:formulaRef>
                      </c:ext>
                    </c:extLst>
                    <c:strCache>
                      <c:ptCount val="5"/>
                      <c:pt idx="0">
                        <c:v>GMS0</c:v>
                      </c:pt>
                      <c:pt idx="1">
                        <c:v>GMS6</c:v>
                      </c:pt>
                      <c:pt idx="2">
                        <c:v>GMS12</c:v>
                      </c:pt>
                      <c:pt idx="3">
                        <c:v>GMS18</c:v>
                      </c:pt>
                      <c:pt idx="4">
                        <c:v>GMS24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'PCPB Testing'!$O$26:$O$30</c15:sqref>
                        </c15:formulaRef>
                      </c:ext>
                    </c:extLst>
                    <c:numCache>
                      <c:formatCode>0.000</c:formatCode>
                      <c:ptCount val="5"/>
                      <c:pt idx="0">
                        <c:v>0.38959416703119665</c:v>
                      </c:pt>
                      <c:pt idx="1">
                        <c:v>0.39752719462133096</c:v>
                      </c:pt>
                      <c:pt idx="2">
                        <c:v>0.22245502074511783</c:v>
                      </c:pt>
                      <c:pt idx="3">
                        <c:v>0.30471269258741113</c:v>
                      </c:pt>
                      <c:pt idx="4">
                        <c:v>0.51065088126361513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F91-4DB1-83BE-556502BA4F6D}"/>
                  </c:ext>
                </c:extLst>
              </c15:ser>
            </c15:filteredLineSeries>
          </c:ext>
        </c:extLst>
      </c:lineChart>
      <c:catAx>
        <c:axId val="282387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r>
                  <a:rPr lang="id-ID">
                    <a:latin typeface="Constantia" panose="02030602050306030303" pitchFamily="18" charset="0"/>
                  </a:rPr>
                  <a:t>R</a:t>
                </a:r>
                <a:r>
                  <a:rPr lang="en-ID">
                    <a:latin typeface="Constantia" panose="02030602050306030303" pitchFamily="18" charset="0"/>
                  </a:rPr>
                  <a:t>eplacement </a:t>
                </a:r>
                <a:r>
                  <a:rPr lang="id-ID">
                    <a:latin typeface="Constantia" panose="02030602050306030303" pitchFamily="18" charset="0"/>
                  </a:rPr>
                  <a:t>L</a:t>
                </a:r>
                <a:r>
                  <a:rPr lang="en-ID">
                    <a:latin typeface="Constantia" panose="02030602050306030303" pitchFamily="18" charset="0"/>
                  </a:rPr>
                  <a:t>evel</a:t>
                </a:r>
                <a:r>
                  <a:rPr lang="id-ID">
                    <a:latin typeface="Constantia" panose="02030602050306030303" pitchFamily="18" charset="0"/>
                  </a:rPr>
                  <a:t> (%)</a:t>
                </a:r>
                <a:endParaRPr lang="en-ID">
                  <a:latin typeface="Constantia" panose="02030602050306030303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nstantia" panose="02030602050306030303" pitchFamily="18" charset="0"/>
                  <a:ea typeface="+mn-ea"/>
                  <a:cs typeface="+mn-cs"/>
                </a:defRPr>
              </a:pPr>
              <a:endParaRPr lang="en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endParaRPr lang="en-US"/>
          </a:p>
        </c:txPr>
        <c:crossAx val="282388656"/>
        <c:crosses val="autoZero"/>
        <c:auto val="1"/>
        <c:lblAlgn val="ctr"/>
        <c:lblOffset val="100"/>
        <c:noMultiLvlLbl val="0"/>
      </c:catAx>
      <c:valAx>
        <c:axId val="28238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r>
                  <a:rPr lang="id-ID">
                    <a:latin typeface="Constantia" panose="02030602050306030303" pitchFamily="18" charset="0"/>
                  </a:rPr>
                  <a:t>Percent (%)</a:t>
                </a:r>
                <a:endParaRPr lang="en-ID">
                  <a:latin typeface="Constantia" panose="02030602050306030303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nstantia" panose="02030602050306030303" pitchFamily="18" charset="0"/>
                  <a:ea typeface="+mn-ea"/>
                  <a:cs typeface="+mn-cs"/>
                </a:defRPr>
              </a:pPr>
              <a:endParaRPr lang="en-ID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endParaRPr lang="en-US"/>
          </a:p>
        </c:txPr>
        <c:crossAx val="282387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r>
              <a:rPr lang="en-US" sz="1000">
                <a:latin typeface="Constantia" panose="02030602050306030303" pitchFamily="18" charset="0"/>
              </a:rPr>
              <a:t>Compressive strength </a:t>
            </a:r>
            <a:endParaRPr lang="id-ID" sz="1000">
              <a:latin typeface="Constantia" panose="02030602050306030303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onstantia" panose="02030602050306030303" pitchFamily="18" charset="0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cked"/>
        <c:varyColors val="0"/>
        <c:ser>
          <c:idx val="1"/>
          <c:order val="1"/>
          <c:tx>
            <c:strRef>
              <c:f>'PCPB Testing'!$M$8</c:f>
              <c:strCache>
                <c:ptCount val="1"/>
                <c:pt idx="0">
                  <c:v>Compressive strength</c:v>
                </c:pt>
              </c:strCache>
            </c:strRef>
          </c:tx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'PCPB Testing'!$N$10:$N$14</c:f>
              <c:strCache>
                <c:ptCount val="5"/>
                <c:pt idx="0">
                  <c:v>GMS0</c:v>
                </c:pt>
                <c:pt idx="1">
                  <c:v>GMS6</c:v>
                </c:pt>
                <c:pt idx="2">
                  <c:v>GMS12</c:v>
                </c:pt>
                <c:pt idx="3">
                  <c:v>GMS18</c:v>
                </c:pt>
                <c:pt idx="4">
                  <c:v>GMS24 </c:v>
                </c:pt>
              </c:strCache>
            </c:strRef>
          </c:cat>
          <c:val>
            <c:numRef>
              <c:f>'PCPB Testing'!$O$10:$O$14</c:f>
              <c:numCache>
                <c:formatCode>0.00</c:formatCode>
                <c:ptCount val="5"/>
                <c:pt idx="0">
                  <c:v>22.222222222222218</c:v>
                </c:pt>
                <c:pt idx="1">
                  <c:v>21.466364323507179</c:v>
                </c:pt>
                <c:pt idx="2">
                  <c:v>27.210884353741495</c:v>
                </c:pt>
                <c:pt idx="3">
                  <c:v>23.582766439909296</c:v>
                </c:pt>
                <c:pt idx="4">
                  <c:v>18.745275888133033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254-4340-A189-28F3D510BB25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1320880"/>
        <c:axId val="3213204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'PCPB Testing'!$M$16</c15:sqref>
                        </c15:formulaRef>
                      </c:ext>
                    </c:extLst>
                    <c:strCache>
                      <c:ptCount val="1"/>
                      <c:pt idx="0">
                        <c:v>Porosity 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'PCPB Testing'!$N$10:$N$14</c15:sqref>
                        </c15:formulaRef>
                      </c:ext>
                    </c:extLst>
                    <c:strCache>
                      <c:ptCount val="5"/>
                      <c:pt idx="0">
                        <c:v>GMS0</c:v>
                      </c:pt>
                      <c:pt idx="1">
                        <c:v>GMS6</c:v>
                      </c:pt>
                      <c:pt idx="2">
                        <c:v>GMS12</c:v>
                      </c:pt>
                      <c:pt idx="3">
                        <c:v>GMS18</c:v>
                      </c:pt>
                      <c:pt idx="4">
                        <c:v>GMS24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'PCPB Testing'!$O$18:$O$22</c15:sqref>
                        </c15:formulaRef>
                      </c:ext>
                    </c:extLst>
                    <c:numCache>
                      <c:formatCode>0.00</c:formatCode>
                      <c:ptCount val="5"/>
                      <c:pt idx="0">
                        <c:v>18.649479529428408</c:v>
                      </c:pt>
                      <c:pt idx="1">
                        <c:v>18.901885736287149</c:v>
                      </c:pt>
                      <c:pt idx="2">
                        <c:v>18.018464012281562</c:v>
                      </c:pt>
                      <c:pt idx="3">
                        <c:v>18.321351460512044</c:v>
                      </c:pt>
                      <c:pt idx="4">
                        <c:v>18.927126356973023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2254-4340-A189-28F3D510BB2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'PCPB Testing'!$M$24:$O$24</c15:sqref>
                        </c15:formulaRef>
                      </c:ext>
                    </c:extLst>
                    <c:strCache>
                      <c:ptCount val="1"/>
                      <c:pt idx="0">
                        <c:v>Permeability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'PCPB Testing'!$N$10:$N$14</c15:sqref>
                        </c15:formulaRef>
                      </c:ext>
                    </c:extLst>
                    <c:strCache>
                      <c:ptCount val="5"/>
                      <c:pt idx="0">
                        <c:v>GMS0</c:v>
                      </c:pt>
                      <c:pt idx="1">
                        <c:v>GMS6</c:v>
                      </c:pt>
                      <c:pt idx="2">
                        <c:v>GMS12</c:v>
                      </c:pt>
                      <c:pt idx="3">
                        <c:v>GMS18</c:v>
                      </c:pt>
                      <c:pt idx="4">
                        <c:v>GMS24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'PCPB Testing'!$O$26:$O$30</c15:sqref>
                        </c15:formulaRef>
                      </c:ext>
                    </c:extLst>
                    <c:numCache>
                      <c:formatCode>0.000</c:formatCode>
                      <c:ptCount val="5"/>
                      <c:pt idx="0">
                        <c:v>0.38959416703119665</c:v>
                      </c:pt>
                      <c:pt idx="1">
                        <c:v>0.39752719462133096</c:v>
                      </c:pt>
                      <c:pt idx="2">
                        <c:v>0.22245502074511783</c:v>
                      </c:pt>
                      <c:pt idx="3">
                        <c:v>0.30471269258741113</c:v>
                      </c:pt>
                      <c:pt idx="4">
                        <c:v>0.51065088126361513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2254-4340-A189-28F3D510BB25}"/>
                  </c:ext>
                </c:extLst>
              </c15:ser>
            </c15:filteredLineSeries>
          </c:ext>
        </c:extLst>
      </c:lineChart>
      <c:catAx>
        <c:axId val="321320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r>
                  <a:rPr lang="id-ID">
                    <a:latin typeface="Constantia" panose="02030602050306030303" pitchFamily="18" charset="0"/>
                  </a:rPr>
                  <a:t>R</a:t>
                </a:r>
                <a:r>
                  <a:rPr lang="en-ID">
                    <a:latin typeface="Constantia" panose="02030602050306030303" pitchFamily="18" charset="0"/>
                  </a:rPr>
                  <a:t>eplacement </a:t>
                </a:r>
                <a:r>
                  <a:rPr lang="id-ID">
                    <a:latin typeface="Constantia" panose="02030602050306030303" pitchFamily="18" charset="0"/>
                  </a:rPr>
                  <a:t>L</a:t>
                </a:r>
                <a:r>
                  <a:rPr lang="en-ID">
                    <a:latin typeface="Constantia" panose="02030602050306030303" pitchFamily="18" charset="0"/>
                  </a:rPr>
                  <a:t>evel</a:t>
                </a:r>
                <a:r>
                  <a:rPr lang="id-ID">
                    <a:latin typeface="Constantia" panose="02030602050306030303" pitchFamily="18" charset="0"/>
                  </a:rPr>
                  <a:t> (%)</a:t>
                </a:r>
                <a:endParaRPr lang="en-ID">
                  <a:latin typeface="Constantia" panose="02030602050306030303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nstantia" panose="02030602050306030303" pitchFamily="18" charset="0"/>
                  <a:ea typeface="+mn-ea"/>
                  <a:cs typeface="+mn-cs"/>
                </a:defRPr>
              </a:pPr>
              <a:endParaRPr lang="en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endParaRPr lang="en-US"/>
          </a:p>
        </c:txPr>
        <c:crossAx val="321320488"/>
        <c:crosses val="autoZero"/>
        <c:auto val="1"/>
        <c:lblAlgn val="ctr"/>
        <c:lblOffset val="100"/>
        <c:noMultiLvlLbl val="0"/>
      </c:catAx>
      <c:valAx>
        <c:axId val="321320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r>
                  <a:rPr lang="id-ID">
                    <a:latin typeface="Constantia" panose="02030602050306030303" pitchFamily="18" charset="0"/>
                  </a:rPr>
                  <a:t>M</a:t>
                </a:r>
                <a:r>
                  <a:rPr lang="en-ID">
                    <a:latin typeface="Constantia" panose="02030602050306030303" pitchFamily="18" charset="0"/>
                  </a:rPr>
                  <a:t>egapascal (MPa)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nstantia" panose="0203060205030603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endParaRPr lang="en-US"/>
          </a:p>
        </c:txPr>
        <c:crossAx val="32132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r>
              <a:rPr lang="en-US" sz="1000">
                <a:latin typeface="Constantia" panose="02030602050306030303" pitchFamily="18" charset="0"/>
              </a:rPr>
              <a:t>P</a:t>
            </a:r>
            <a:r>
              <a:rPr lang="id-ID" sz="1000">
                <a:latin typeface="Constantia" panose="02030602050306030303" pitchFamily="18" charset="0"/>
              </a:rPr>
              <a:t>ermeability</a:t>
            </a:r>
            <a:endParaRPr lang="en-US" sz="1000">
              <a:latin typeface="Constantia" panose="02030602050306030303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onstantia" panose="0203060205030603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2"/>
          <c:order val="2"/>
          <c:tx>
            <c:strRef>
              <c:f>'PCPB Testing'!$M$24:$O$24</c:f>
              <c:strCache>
                <c:ptCount val="1"/>
                <c:pt idx="0">
                  <c:v>Permeability</c:v>
                </c:pt>
              </c:strCache>
            </c:strRef>
          </c:tx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'PCPB Testing'!$N$10:$N$14</c:f>
              <c:strCache>
                <c:ptCount val="5"/>
                <c:pt idx="0">
                  <c:v>GMS0</c:v>
                </c:pt>
                <c:pt idx="1">
                  <c:v>GMS6</c:v>
                </c:pt>
                <c:pt idx="2">
                  <c:v>GMS12</c:v>
                </c:pt>
                <c:pt idx="3">
                  <c:v>GMS18</c:v>
                </c:pt>
                <c:pt idx="4">
                  <c:v>GMS24 </c:v>
                </c:pt>
              </c:strCache>
            </c:strRef>
          </c:cat>
          <c:val>
            <c:numRef>
              <c:f>'PCPB Testing'!$O$26:$O$30</c:f>
              <c:numCache>
                <c:formatCode>0.000</c:formatCode>
                <c:ptCount val="5"/>
                <c:pt idx="0">
                  <c:v>0.38959416703119665</c:v>
                </c:pt>
                <c:pt idx="1">
                  <c:v>0.39752719462133096</c:v>
                </c:pt>
                <c:pt idx="2">
                  <c:v>0.22245502074511783</c:v>
                </c:pt>
                <c:pt idx="3">
                  <c:v>0.30471269258741113</c:v>
                </c:pt>
                <c:pt idx="4">
                  <c:v>0.51065088126361513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E014-4DEE-933C-5BB06482A5ED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1320096"/>
        <c:axId val="3213181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'PCPB Testing'!$M$16</c15:sqref>
                        </c15:formulaRef>
                      </c:ext>
                    </c:extLst>
                    <c:strCache>
                      <c:ptCount val="1"/>
                      <c:pt idx="0">
                        <c:v>Porosity 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'PCPB Testing'!$N$10:$N$14</c15:sqref>
                        </c15:formulaRef>
                      </c:ext>
                    </c:extLst>
                    <c:strCache>
                      <c:ptCount val="5"/>
                      <c:pt idx="0">
                        <c:v>GMS0</c:v>
                      </c:pt>
                      <c:pt idx="1">
                        <c:v>GMS6</c:v>
                      </c:pt>
                      <c:pt idx="2">
                        <c:v>GMS12</c:v>
                      </c:pt>
                      <c:pt idx="3">
                        <c:v>GMS18</c:v>
                      </c:pt>
                      <c:pt idx="4">
                        <c:v>GMS24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'PCPB Testing'!$O$18:$O$22</c15:sqref>
                        </c15:formulaRef>
                      </c:ext>
                    </c:extLst>
                    <c:numCache>
                      <c:formatCode>0.00</c:formatCode>
                      <c:ptCount val="5"/>
                      <c:pt idx="0">
                        <c:v>18.649479529428408</c:v>
                      </c:pt>
                      <c:pt idx="1">
                        <c:v>18.901885736287149</c:v>
                      </c:pt>
                      <c:pt idx="2">
                        <c:v>18.018464012281562</c:v>
                      </c:pt>
                      <c:pt idx="3">
                        <c:v>18.321351460512044</c:v>
                      </c:pt>
                      <c:pt idx="4">
                        <c:v>18.927126356973023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E014-4DEE-933C-5BB06482A5E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'PCPB Testing'!$M$8</c15:sqref>
                        </c15:formulaRef>
                      </c:ext>
                    </c:extLst>
                    <c:strCache>
                      <c:ptCount val="1"/>
                      <c:pt idx="0">
                        <c:v>Compressive strength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'PCPB Testing'!$N$10:$N$14</c15:sqref>
                        </c15:formulaRef>
                      </c:ext>
                    </c:extLst>
                    <c:strCache>
                      <c:ptCount val="5"/>
                      <c:pt idx="0">
                        <c:v>GMS0</c:v>
                      </c:pt>
                      <c:pt idx="1">
                        <c:v>GMS6</c:v>
                      </c:pt>
                      <c:pt idx="2">
                        <c:v>GMS12</c:v>
                      </c:pt>
                      <c:pt idx="3">
                        <c:v>GMS18</c:v>
                      </c:pt>
                      <c:pt idx="4">
                        <c:v>GMS24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'PCPB Testing'!$O$10:$O$14</c15:sqref>
                        </c15:formulaRef>
                      </c:ext>
                    </c:extLst>
                    <c:numCache>
                      <c:formatCode>0.00</c:formatCode>
                      <c:ptCount val="5"/>
                      <c:pt idx="0">
                        <c:v>22.222222222222218</c:v>
                      </c:pt>
                      <c:pt idx="1">
                        <c:v>21.466364323507179</c:v>
                      </c:pt>
                      <c:pt idx="2">
                        <c:v>27.210884353741495</c:v>
                      </c:pt>
                      <c:pt idx="3">
                        <c:v>23.582766439909296</c:v>
                      </c:pt>
                      <c:pt idx="4">
                        <c:v>18.745275888133033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014-4DEE-933C-5BB06482A5ED}"/>
                  </c:ext>
                </c:extLst>
              </c15:ser>
            </c15:filteredLineSeries>
          </c:ext>
        </c:extLst>
      </c:lineChart>
      <c:catAx>
        <c:axId val="321320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r>
                  <a:rPr lang="id-ID">
                    <a:latin typeface="Constantia" panose="02030602050306030303" pitchFamily="18" charset="0"/>
                  </a:rPr>
                  <a:t>R</a:t>
                </a:r>
                <a:r>
                  <a:rPr lang="en-ID">
                    <a:latin typeface="Constantia" panose="02030602050306030303" pitchFamily="18" charset="0"/>
                  </a:rPr>
                  <a:t>eplacement </a:t>
                </a:r>
                <a:r>
                  <a:rPr lang="id-ID">
                    <a:latin typeface="Constantia" panose="02030602050306030303" pitchFamily="18" charset="0"/>
                  </a:rPr>
                  <a:t>L</a:t>
                </a:r>
                <a:r>
                  <a:rPr lang="en-ID">
                    <a:latin typeface="Constantia" panose="02030602050306030303" pitchFamily="18" charset="0"/>
                  </a:rPr>
                  <a:t>evel</a:t>
                </a:r>
                <a:r>
                  <a:rPr lang="id-ID">
                    <a:latin typeface="Constantia" panose="02030602050306030303" pitchFamily="18" charset="0"/>
                  </a:rPr>
                  <a:t> (%)</a:t>
                </a:r>
                <a:endParaRPr lang="en-ID">
                  <a:latin typeface="Constantia" panose="02030602050306030303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nstantia" panose="02030602050306030303" pitchFamily="18" charset="0"/>
                  <a:ea typeface="+mn-ea"/>
                  <a:cs typeface="+mn-cs"/>
                </a:defRPr>
              </a:pPr>
              <a:endParaRPr lang="en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endParaRPr lang="en-US"/>
          </a:p>
        </c:txPr>
        <c:crossAx val="321318136"/>
        <c:crosses val="autoZero"/>
        <c:auto val="1"/>
        <c:lblAlgn val="ctr"/>
        <c:lblOffset val="100"/>
        <c:noMultiLvlLbl val="0"/>
      </c:catAx>
      <c:valAx>
        <c:axId val="321318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r>
                  <a:rPr lang="en-ID" sz="1000" b="0" i="0" u="none" strike="noStrike" baseline="0">
                    <a:latin typeface="Constantia" panose="02030602050306030303" pitchFamily="18" charset="0"/>
                  </a:rPr>
                  <a:t>centimeters per second</a:t>
                </a:r>
                <a:r>
                  <a:rPr lang="id-ID" sz="1000" b="0" i="0" u="none" strike="noStrike" baseline="0">
                    <a:latin typeface="Constantia" panose="02030602050306030303" pitchFamily="18" charset="0"/>
                  </a:rPr>
                  <a:t> (cm/s)</a:t>
                </a:r>
                <a:endParaRPr lang="en-ID">
                  <a:latin typeface="Constantia" panose="02030602050306030303" pitchFamily="18" charset="0"/>
                </a:endParaRPr>
              </a:p>
            </c:rich>
          </c:tx>
          <c:layout>
            <c:manualLayout>
              <c:xMode val="edge"/>
              <c:yMode val="edge"/>
              <c:x val="2.6138222252625947E-2"/>
              <c:y val="9.641044106891652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nstantia" panose="02030602050306030303" pitchFamily="18" charset="0"/>
                  <a:ea typeface="+mn-ea"/>
                  <a:cs typeface="+mn-cs"/>
                </a:defRPr>
              </a:pPr>
              <a:endParaRPr lang="en-ID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endParaRPr lang="en-US"/>
          </a:p>
        </c:txPr>
        <c:crossAx val="321320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54895</xdr:colOff>
      <xdr:row>11</xdr:row>
      <xdr:rowOff>127071</xdr:rowOff>
    </xdr:from>
    <xdr:to>
      <xdr:col>17</xdr:col>
      <xdr:colOff>312040</xdr:colOff>
      <xdr:row>24</xdr:row>
      <xdr:rowOff>118899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73AC7A-088A-4C56-BD7B-FA6C528EC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397914</xdr:colOff>
      <xdr:row>2</xdr:row>
      <xdr:rowOff>6669</xdr:rowOff>
    </xdr:from>
    <xdr:to>
      <xdr:col>20</xdr:col>
      <xdr:colOff>440764</xdr:colOff>
      <xdr:row>14</xdr:row>
      <xdr:rowOff>52295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4BCDF4-F7F5-4500-AA0F-2B9A8CC96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432562</xdr:colOff>
      <xdr:row>13</xdr:row>
      <xdr:rowOff>173717</xdr:rowOff>
    </xdr:from>
    <xdr:to>
      <xdr:col>20</xdr:col>
      <xdr:colOff>478118</xdr:colOff>
      <xdr:row>26</xdr:row>
      <xdr:rowOff>89647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974EE9B-0528-4105-8188-794402908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543042</xdr:colOff>
      <xdr:row>1</xdr:row>
      <xdr:rowOff>159992</xdr:rowOff>
    </xdr:from>
    <xdr:to>
      <xdr:col>26</xdr:col>
      <xdr:colOff>273538</xdr:colOff>
      <xdr:row>14</xdr:row>
      <xdr:rowOff>67522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A3B74E8-B91D-407F-9E2A-A9F81DC5D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7"/>
  <sheetViews>
    <sheetView tabSelected="1" topLeftCell="A5" zoomScale="115" zoomScaleNormal="115" workbookViewId="0">
      <selection activeCell="K21" sqref="K21"/>
    </sheetView>
  </sheetViews>
  <sheetFormatPr defaultRowHeight="14.5" x14ac:dyDescent="0.35"/>
  <cols>
    <col min="2" max="2" width="5.453125" customWidth="1"/>
    <col min="3" max="4" width="9.7265625" customWidth="1"/>
    <col min="5" max="5" width="10.1796875" bestFit="1" customWidth="1"/>
    <col min="6" max="7" width="9.7265625" bestFit="1" customWidth="1"/>
    <col min="8" max="10" width="9.81640625" bestFit="1" customWidth="1"/>
  </cols>
  <sheetData>
    <row r="2" spans="2:12" x14ac:dyDescent="0.35">
      <c r="B2" s="48" t="s">
        <v>25</v>
      </c>
      <c r="C2" s="48" t="s">
        <v>66</v>
      </c>
      <c r="D2" s="48"/>
      <c r="E2" s="48"/>
      <c r="F2" s="48"/>
      <c r="G2" s="48"/>
      <c r="H2" s="48"/>
      <c r="I2" s="48"/>
      <c r="J2" s="48"/>
    </row>
    <row r="3" spans="2:12" x14ac:dyDescent="0.35">
      <c r="B3" s="48"/>
      <c r="C3" s="31" t="s">
        <v>58</v>
      </c>
      <c r="D3" s="31" t="s">
        <v>59</v>
      </c>
      <c r="E3" s="31" t="s">
        <v>60</v>
      </c>
      <c r="F3" s="31" t="s">
        <v>61</v>
      </c>
      <c r="G3" s="31" t="s">
        <v>62</v>
      </c>
      <c r="H3" s="31" t="s">
        <v>63</v>
      </c>
      <c r="I3" s="31" t="s">
        <v>64</v>
      </c>
      <c r="J3" s="31" t="s">
        <v>58</v>
      </c>
    </row>
    <row r="4" spans="2:12" x14ac:dyDescent="0.35">
      <c r="B4" s="48"/>
      <c r="C4" s="31" t="s">
        <v>69</v>
      </c>
      <c r="D4" s="31" t="s">
        <v>70</v>
      </c>
      <c r="E4" s="31" t="s">
        <v>71</v>
      </c>
      <c r="F4" s="31" t="s">
        <v>72</v>
      </c>
      <c r="G4" s="31" t="s">
        <v>73</v>
      </c>
      <c r="H4" s="31" t="s">
        <v>74</v>
      </c>
      <c r="I4" s="31" t="s">
        <v>75</v>
      </c>
      <c r="J4" s="31" t="s">
        <v>69</v>
      </c>
    </row>
    <row r="5" spans="2:12" x14ac:dyDescent="0.35">
      <c r="B5" s="48"/>
      <c r="C5" s="32">
        <v>45712</v>
      </c>
      <c r="D5" s="32">
        <v>45713</v>
      </c>
      <c r="E5" s="32">
        <v>45714</v>
      </c>
      <c r="F5" s="32">
        <v>45715</v>
      </c>
      <c r="G5" s="32">
        <v>45716</v>
      </c>
      <c r="H5" s="32">
        <v>45717</v>
      </c>
      <c r="I5" s="32">
        <v>45718</v>
      </c>
      <c r="J5" s="32">
        <v>45719</v>
      </c>
    </row>
    <row r="6" spans="2:12" x14ac:dyDescent="0.35">
      <c r="B6" s="12">
        <v>1</v>
      </c>
      <c r="C6" s="11">
        <v>5.48</v>
      </c>
      <c r="D6" s="11">
        <v>10.75</v>
      </c>
      <c r="E6" s="11">
        <v>13</v>
      </c>
      <c r="F6" s="11">
        <v>14</v>
      </c>
      <c r="G6" s="11">
        <v>12.5</v>
      </c>
      <c r="H6" s="11">
        <v>6.75</v>
      </c>
      <c r="I6" s="11">
        <v>7.5</v>
      </c>
      <c r="J6" s="11">
        <v>8.75</v>
      </c>
    </row>
    <row r="7" spans="2:12" x14ac:dyDescent="0.35">
      <c r="B7" s="12">
        <v>2</v>
      </c>
      <c r="C7" s="11">
        <v>11.9</v>
      </c>
      <c r="D7" s="11">
        <v>18.5</v>
      </c>
      <c r="E7" s="11">
        <v>12.25</v>
      </c>
      <c r="F7" s="11">
        <v>10</v>
      </c>
      <c r="G7" s="11">
        <v>8.25</v>
      </c>
      <c r="H7" s="11">
        <v>10.5</v>
      </c>
      <c r="I7" s="11">
        <v>14.25</v>
      </c>
      <c r="J7" s="11">
        <v>7</v>
      </c>
    </row>
    <row r="8" spans="2:12" x14ac:dyDescent="0.35">
      <c r="B8" s="12">
        <v>3</v>
      </c>
      <c r="C8" s="11">
        <v>15.1</v>
      </c>
      <c r="D8" s="11">
        <v>6.75</v>
      </c>
      <c r="E8" s="11">
        <v>14.75</v>
      </c>
      <c r="F8" s="11">
        <v>8.4</v>
      </c>
      <c r="G8" s="11">
        <v>7.75</v>
      </c>
      <c r="H8" s="11">
        <v>9.25</v>
      </c>
      <c r="I8" s="11">
        <v>13.5</v>
      </c>
      <c r="J8" s="11">
        <v>13.75</v>
      </c>
    </row>
    <row r="9" spans="2:12" x14ac:dyDescent="0.35">
      <c r="B9" s="12">
        <v>4</v>
      </c>
      <c r="C9" s="11">
        <v>14.75</v>
      </c>
      <c r="D9" s="11">
        <v>12.75</v>
      </c>
      <c r="E9" s="11">
        <v>8.9</v>
      </c>
      <c r="F9" s="11">
        <v>9.9</v>
      </c>
      <c r="G9" s="11">
        <v>15.5</v>
      </c>
      <c r="H9" s="11">
        <v>5.25</v>
      </c>
      <c r="I9" s="11">
        <v>6.8</v>
      </c>
      <c r="J9" s="11">
        <v>5.5</v>
      </c>
    </row>
    <row r="10" spans="2:12" x14ac:dyDescent="0.35">
      <c r="B10" s="12">
        <v>5</v>
      </c>
      <c r="C10" s="11">
        <v>11</v>
      </c>
      <c r="D10" s="11">
        <v>13</v>
      </c>
      <c r="E10" s="11">
        <v>16</v>
      </c>
      <c r="F10" s="11">
        <v>12.1</v>
      </c>
      <c r="G10" s="11">
        <v>9.5</v>
      </c>
      <c r="H10" s="11">
        <v>12.75</v>
      </c>
      <c r="I10" s="11">
        <v>9.5</v>
      </c>
      <c r="J10" s="11">
        <v>9.75</v>
      </c>
    </row>
    <row r="11" spans="2:12" x14ac:dyDescent="0.35">
      <c r="B11" s="12">
        <v>6</v>
      </c>
      <c r="C11" s="11">
        <v>14.65</v>
      </c>
      <c r="D11" s="11">
        <v>6.5</v>
      </c>
      <c r="E11" s="11">
        <v>15.75</v>
      </c>
      <c r="F11" s="11">
        <v>19.25</v>
      </c>
      <c r="G11" s="11"/>
      <c r="H11" s="11">
        <v>8.75</v>
      </c>
      <c r="I11" s="11">
        <v>7.6</v>
      </c>
      <c r="J11" s="11">
        <v>12</v>
      </c>
      <c r="L11" s="6" t="s">
        <v>68</v>
      </c>
    </row>
    <row r="12" spans="2:12" x14ac:dyDescent="0.35">
      <c r="B12" s="12">
        <v>7</v>
      </c>
      <c r="C12" s="11">
        <v>8.75</v>
      </c>
      <c r="D12" s="11">
        <v>15</v>
      </c>
      <c r="E12" s="11">
        <f>5*2.8</f>
        <v>14</v>
      </c>
      <c r="F12" s="11">
        <v>18.399999999999999</v>
      </c>
      <c r="G12" s="11"/>
      <c r="H12" s="11">
        <v>11.5</v>
      </c>
      <c r="I12" s="11">
        <v>7.25</v>
      </c>
      <c r="J12" s="11">
        <v>8</v>
      </c>
    </row>
    <row r="13" spans="2:12" x14ac:dyDescent="0.35">
      <c r="B13" s="12">
        <v>8</v>
      </c>
      <c r="C13" s="11">
        <v>10.25</v>
      </c>
      <c r="D13" s="11">
        <v>6.8</v>
      </c>
      <c r="E13" s="11"/>
      <c r="F13" s="11">
        <v>4.75</v>
      </c>
      <c r="G13" s="11"/>
      <c r="H13" s="11"/>
      <c r="I13" s="11">
        <v>11</v>
      </c>
      <c r="J13" s="11">
        <v>6.5</v>
      </c>
    </row>
    <row r="14" spans="2:12" x14ac:dyDescent="0.35">
      <c r="B14" s="12">
        <v>9</v>
      </c>
      <c r="C14" s="11">
        <v>8.1999999999999993</v>
      </c>
      <c r="D14" s="11">
        <v>10</v>
      </c>
      <c r="E14" s="11"/>
      <c r="F14" s="11">
        <v>7</v>
      </c>
      <c r="G14" s="11"/>
      <c r="H14" s="11"/>
      <c r="I14" s="11"/>
      <c r="J14" s="11">
        <v>14.25</v>
      </c>
    </row>
    <row r="15" spans="2:12" x14ac:dyDescent="0.35">
      <c r="B15" s="12">
        <v>10</v>
      </c>
      <c r="C15" s="11"/>
      <c r="D15" s="11">
        <v>5.75</v>
      </c>
      <c r="E15" s="11"/>
      <c r="F15" s="11"/>
      <c r="G15" s="11"/>
      <c r="H15" s="11"/>
      <c r="I15" s="11"/>
      <c r="J15" s="11">
        <v>8.75</v>
      </c>
    </row>
    <row r="16" spans="2:12" x14ac:dyDescent="0.35">
      <c r="B16" s="12" t="s">
        <v>0</v>
      </c>
      <c r="C16" s="11">
        <f>SUM(C6:C15)</f>
        <v>100.08000000000001</v>
      </c>
      <c r="D16" s="11">
        <f>SUM(D6:D15)</f>
        <v>105.8</v>
      </c>
      <c r="E16" s="11">
        <f t="shared" ref="E16" si="0">SUM(E6:E14)</f>
        <v>94.65</v>
      </c>
      <c r="F16" s="11">
        <f>SUM(F6:F14)</f>
        <v>103.80000000000001</v>
      </c>
      <c r="G16" s="11">
        <f>SUM(G6:G14)</f>
        <v>53.5</v>
      </c>
      <c r="H16" s="11">
        <f>SUM(H6:H13)</f>
        <v>64.75</v>
      </c>
      <c r="I16" s="11">
        <f>SUM(I6:I14)</f>
        <v>77.400000000000006</v>
      </c>
      <c r="J16" s="11">
        <f>SUM(J6:J15)</f>
        <v>94.25</v>
      </c>
    </row>
    <row r="17" spans="2:10" x14ac:dyDescent="0.35">
      <c r="B17" s="49" t="s">
        <v>65</v>
      </c>
      <c r="C17" s="49"/>
      <c r="D17" s="49"/>
      <c r="E17" s="49"/>
      <c r="F17" s="49"/>
      <c r="G17" s="49"/>
      <c r="H17" s="49"/>
      <c r="I17" s="49"/>
      <c r="J17" s="19">
        <f>AVERAGE(C16:J16)</f>
        <v>86.778749999999988</v>
      </c>
    </row>
  </sheetData>
  <mergeCells count="3">
    <mergeCell ref="B2:B5"/>
    <mergeCell ref="C2:J2"/>
    <mergeCell ref="B17:I17"/>
  </mergeCells>
  <pageMargins left="0.7" right="0.7" top="0.75" bottom="0.75" header="0.3" footer="0.3"/>
  <pageSetup orientation="portrait" r:id="rId1"/>
  <ignoredErrors>
    <ignoredError sqref="C16:G16 I16:J16" formulaRange="1"/>
    <ignoredError sqref="H16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61"/>
  <sheetViews>
    <sheetView zoomScale="10" zoomScaleNormal="10" workbookViewId="0">
      <selection activeCell="L14" sqref="L14"/>
    </sheetView>
  </sheetViews>
  <sheetFormatPr defaultColWidth="9.1796875" defaultRowHeight="14.5" x14ac:dyDescent="0.35"/>
  <cols>
    <col min="1" max="1" width="14.453125" style="6" bestFit="1" customWidth="1"/>
    <col min="2" max="2" width="22.26953125" style="6" bestFit="1" customWidth="1"/>
    <col min="3" max="3" width="4.1796875" style="6" bestFit="1" customWidth="1"/>
    <col min="4" max="4" width="14.7265625" style="6" customWidth="1"/>
    <col min="5" max="5" width="26.81640625" style="6" customWidth="1"/>
    <col min="6" max="6" width="16.26953125" style="6" customWidth="1"/>
    <col min="7" max="7" width="16.453125" style="6" customWidth="1"/>
    <col min="8" max="8" width="27.7265625" style="6" bestFit="1" customWidth="1"/>
    <col min="9" max="9" width="13.54296875" style="6" customWidth="1"/>
    <col min="10" max="10" width="4.7265625" style="6" customWidth="1"/>
    <col min="11" max="11" width="13.453125" style="6" customWidth="1"/>
    <col min="12" max="12" width="11.81640625" style="6" customWidth="1"/>
    <col min="13" max="13" width="19.6328125" style="6" bestFit="1" customWidth="1"/>
    <col min="14" max="14" width="38.26953125" style="6" bestFit="1" customWidth="1"/>
    <col min="15" max="15" width="15.7265625" style="6" bestFit="1" customWidth="1"/>
    <col min="16" max="16" width="13.90625" style="6" bestFit="1" customWidth="1"/>
    <col min="17" max="17" width="11.453125" style="6" bestFit="1" customWidth="1"/>
    <col min="18" max="16384" width="9.1796875" style="6"/>
  </cols>
  <sheetData>
    <row r="1" spans="2:15" ht="28.5" x14ac:dyDescent="0.65">
      <c r="B1" s="33" t="s">
        <v>49</v>
      </c>
    </row>
    <row r="2" spans="2:15" ht="14.5" customHeight="1" x14ac:dyDescent="0.35">
      <c r="B2" s="50"/>
      <c r="C2" s="50"/>
      <c r="D2" s="8"/>
      <c r="E2" s="51"/>
      <c r="F2" s="51"/>
      <c r="G2" s="51"/>
      <c r="H2" s="9"/>
      <c r="I2" s="9"/>
    </row>
    <row r="3" spans="2:15" x14ac:dyDescent="0.35">
      <c r="B3" s="49" t="s">
        <v>3</v>
      </c>
      <c r="C3" s="49"/>
      <c r="D3" s="10" t="s">
        <v>4</v>
      </c>
      <c r="E3" s="10" t="s">
        <v>5</v>
      </c>
      <c r="F3" s="10" t="s">
        <v>6</v>
      </c>
      <c r="G3" s="48" t="s">
        <v>7</v>
      </c>
      <c r="H3" s="48" t="s">
        <v>8</v>
      </c>
      <c r="I3" s="48" t="s">
        <v>9</v>
      </c>
      <c r="M3" s="11" t="s">
        <v>25</v>
      </c>
      <c r="N3" s="11" t="s">
        <v>26</v>
      </c>
      <c r="O3" s="11" t="s">
        <v>27</v>
      </c>
    </row>
    <row r="4" spans="2:15" x14ac:dyDescent="0.35">
      <c r="B4" s="11" t="s">
        <v>28</v>
      </c>
      <c r="C4" s="11" t="s">
        <v>25</v>
      </c>
      <c r="D4" s="11" t="s">
        <v>29</v>
      </c>
      <c r="E4" s="11" t="s">
        <v>29</v>
      </c>
      <c r="F4" s="12" t="s">
        <v>30</v>
      </c>
      <c r="G4" s="48"/>
      <c r="H4" s="48"/>
      <c r="I4" s="48"/>
      <c r="M4" s="12">
        <v>1</v>
      </c>
      <c r="N4" s="19" t="s">
        <v>3</v>
      </c>
      <c r="O4" s="10" t="s">
        <v>41</v>
      </c>
    </row>
    <row r="5" spans="2:15" x14ac:dyDescent="0.35">
      <c r="B5" s="48">
        <v>0</v>
      </c>
      <c r="C5" s="12">
        <v>1</v>
      </c>
      <c r="D5" s="12">
        <v>510</v>
      </c>
      <c r="E5" s="12">
        <f t="shared" ref="E5:E19" si="0">D5*1000</f>
        <v>510000</v>
      </c>
      <c r="F5" s="12">
        <f>(21*10.5)*100</f>
        <v>22050</v>
      </c>
      <c r="G5" s="14">
        <f>E5/F5</f>
        <v>23.129251700680271</v>
      </c>
      <c r="H5" s="15">
        <v>45694</v>
      </c>
      <c r="I5" s="52">
        <f>AVERAGE(G5:G7)</f>
        <v>22.222222222222218</v>
      </c>
      <c r="M5" s="12">
        <v>2</v>
      </c>
      <c r="N5" s="19" t="s">
        <v>10</v>
      </c>
      <c r="O5" s="10" t="s">
        <v>42</v>
      </c>
    </row>
    <row r="6" spans="2:15" x14ac:dyDescent="0.35">
      <c r="B6" s="48"/>
      <c r="C6" s="12">
        <v>2</v>
      </c>
      <c r="D6" s="12">
        <v>470</v>
      </c>
      <c r="E6" s="12">
        <f t="shared" si="0"/>
        <v>470000</v>
      </c>
      <c r="F6" s="12">
        <f t="shared" ref="F6:F19" si="1">(21*10.5)*100</f>
        <v>22050</v>
      </c>
      <c r="G6" s="14">
        <f t="shared" ref="G6:G19" si="2">E6/F6</f>
        <v>21.315192743764172</v>
      </c>
      <c r="H6" s="15">
        <v>45694</v>
      </c>
      <c r="I6" s="52"/>
      <c r="M6" s="12">
        <v>3</v>
      </c>
      <c r="N6" s="19" t="s">
        <v>17</v>
      </c>
      <c r="O6" s="10" t="s">
        <v>43</v>
      </c>
    </row>
    <row r="7" spans="2:15" x14ac:dyDescent="0.35">
      <c r="B7" s="48"/>
      <c r="C7" s="12">
        <v>3</v>
      </c>
      <c r="D7" s="12">
        <v>490</v>
      </c>
      <c r="E7" s="12">
        <f t="shared" si="0"/>
        <v>490000</v>
      </c>
      <c r="F7" s="12">
        <f t="shared" si="1"/>
        <v>22050</v>
      </c>
      <c r="G7" s="14">
        <f t="shared" si="2"/>
        <v>22.222222222222221</v>
      </c>
      <c r="H7" s="15">
        <v>45694</v>
      </c>
      <c r="I7" s="52"/>
    </row>
    <row r="8" spans="2:15" x14ac:dyDescent="0.35">
      <c r="B8" s="48">
        <v>6</v>
      </c>
      <c r="C8" s="12">
        <v>1</v>
      </c>
      <c r="D8" s="12">
        <v>480</v>
      </c>
      <c r="E8" s="12">
        <f t="shared" si="0"/>
        <v>480000</v>
      </c>
      <c r="F8" s="12">
        <f t="shared" si="1"/>
        <v>22050</v>
      </c>
      <c r="G8" s="14">
        <f t="shared" si="2"/>
        <v>21.768707482993197</v>
      </c>
      <c r="H8" s="15">
        <v>45691</v>
      </c>
      <c r="I8" s="52">
        <f>AVERAGE(G8:G10)</f>
        <v>21.466364323507179</v>
      </c>
      <c r="M8" s="48" t="s">
        <v>78</v>
      </c>
      <c r="N8" s="48"/>
      <c r="O8" s="48"/>
    </row>
    <row r="9" spans="2:15" x14ac:dyDescent="0.35">
      <c r="B9" s="48"/>
      <c r="C9" s="12">
        <v>2</v>
      </c>
      <c r="D9" s="12">
        <v>480</v>
      </c>
      <c r="E9" s="12">
        <f t="shared" si="0"/>
        <v>480000</v>
      </c>
      <c r="F9" s="12">
        <f t="shared" si="1"/>
        <v>22050</v>
      </c>
      <c r="G9" s="14">
        <f t="shared" si="2"/>
        <v>21.768707482993197</v>
      </c>
      <c r="H9" s="15">
        <v>45691</v>
      </c>
      <c r="I9" s="52"/>
      <c r="M9" s="11" t="s">
        <v>28</v>
      </c>
      <c r="N9" s="11" t="s">
        <v>76</v>
      </c>
      <c r="O9" s="11" t="s">
        <v>77</v>
      </c>
    </row>
    <row r="10" spans="2:15" x14ac:dyDescent="0.35">
      <c r="B10" s="48"/>
      <c r="C10" s="12">
        <v>3</v>
      </c>
      <c r="D10" s="12">
        <v>460</v>
      </c>
      <c r="E10" s="12">
        <f t="shared" si="0"/>
        <v>460000</v>
      </c>
      <c r="F10" s="12">
        <f t="shared" si="1"/>
        <v>22050</v>
      </c>
      <c r="G10" s="14">
        <f>E10/F10</f>
        <v>20.861678004535147</v>
      </c>
      <c r="H10" s="15">
        <v>45691</v>
      </c>
      <c r="I10" s="52"/>
      <c r="M10" s="11">
        <v>0</v>
      </c>
      <c r="N10" s="19" t="s">
        <v>44</v>
      </c>
      <c r="O10" s="16">
        <f>I5</f>
        <v>22.222222222222218</v>
      </c>
    </row>
    <row r="11" spans="2:15" x14ac:dyDescent="0.35">
      <c r="B11" s="48">
        <v>12</v>
      </c>
      <c r="C11" s="12">
        <v>1</v>
      </c>
      <c r="D11" s="12">
        <v>570</v>
      </c>
      <c r="E11" s="12">
        <f t="shared" si="0"/>
        <v>570000</v>
      </c>
      <c r="F11" s="12">
        <f t="shared" si="1"/>
        <v>22050</v>
      </c>
      <c r="G11" s="14">
        <f t="shared" si="2"/>
        <v>25.85034013605442</v>
      </c>
      <c r="H11" s="15">
        <v>45692</v>
      </c>
      <c r="I11" s="52">
        <f>AVERAGE(G11:G13)</f>
        <v>27.210884353741495</v>
      </c>
      <c r="M11" s="11">
        <v>6</v>
      </c>
      <c r="N11" s="19" t="s">
        <v>45</v>
      </c>
      <c r="O11" s="16">
        <f>I8</f>
        <v>21.466364323507179</v>
      </c>
    </row>
    <row r="12" spans="2:15" x14ac:dyDescent="0.35">
      <c r="B12" s="48"/>
      <c r="C12" s="12">
        <v>2</v>
      </c>
      <c r="D12" s="12">
        <v>610</v>
      </c>
      <c r="E12" s="12">
        <f t="shared" si="0"/>
        <v>610000</v>
      </c>
      <c r="F12" s="12">
        <f t="shared" si="1"/>
        <v>22050</v>
      </c>
      <c r="G12" s="14">
        <f t="shared" si="2"/>
        <v>27.664399092970523</v>
      </c>
      <c r="H12" s="15">
        <v>45692</v>
      </c>
      <c r="I12" s="52"/>
      <c r="M12" s="11">
        <v>12</v>
      </c>
      <c r="N12" s="19" t="s">
        <v>46</v>
      </c>
      <c r="O12" s="16">
        <f>I11</f>
        <v>27.210884353741495</v>
      </c>
    </row>
    <row r="13" spans="2:15" x14ac:dyDescent="0.35">
      <c r="B13" s="48"/>
      <c r="C13" s="12">
        <v>3</v>
      </c>
      <c r="D13" s="12">
        <v>620</v>
      </c>
      <c r="E13" s="12">
        <f t="shared" si="0"/>
        <v>620000</v>
      </c>
      <c r="F13" s="12">
        <f t="shared" si="1"/>
        <v>22050</v>
      </c>
      <c r="G13" s="14">
        <f t="shared" si="2"/>
        <v>28.117913832199548</v>
      </c>
      <c r="H13" s="15">
        <v>45692</v>
      </c>
      <c r="I13" s="52"/>
      <c r="M13" s="11">
        <v>18</v>
      </c>
      <c r="N13" s="19" t="s">
        <v>47</v>
      </c>
      <c r="O13" s="16">
        <f>I14</f>
        <v>23.582766439909296</v>
      </c>
    </row>
    <row r="14" spans="2:15" x14ac:dyDescent="0.35">
      <c r="B14" s="48">
        <v>18</v>
      </c>
      <c r="C14" s="12">
        <v>1</v>
      </c>
      <c r="D14" s="12">
        <v>440</v>
      </c>
      <c r="E14" s="12">
        <f t="shared" si="0"/>
        <v>440000</v>
      </c>
      <c r="F14" s="12">
        <f t="shared" si="1"/>
        <v>22050</v>
      </c>
      <c r="G14" s="14">
        <f t="shared" si="2"/>
        <v>19.954648526077097</v>
      </c>
      <c r="H14" s="15">
        <v>45695</v>
      </c>
      <c r="I14" s="52">
        <f>AVERAGE(G14:G16)</f>
        <v>23.582766439909296</v>
      </c>
      <c r="M14" s="11">
        <v>24</v>
      </c>
      <c r="N14" s="19" t="s">
        <v>48</v>
      </c>
      <c r="O14" s="16">
        <f>I17</f>
        <v>18.745275888133033</v>
      </c>
    </row>
    <row r="15" spans="2:15" x14ac:dyDescent="0.35">
      <c r="B15" s="48"/>
      <c r="C15" s="12">
        <v>2</v>
      </c>
      <c r="D15" s="12">
        <v>540</v>
      </c>
      <c r="E15" s="12">
        <f t="shared" si="0"/>
        <v>540000</v>
      </c>
      <c r="F15" s="12">
        <f t="shared" si="1"/>
        <v>22050</v>
      </c>
      <c r="G15" s="14">
        <f t="shared" si="2"/>
        <v>24.489795918367346</v>
      </c>
      <c r="H15" s="15">
        <v>45695</v>
      </c>
      <c r="I15" s="52"/>
    </row>
    <row r="16" spans="2:15" x14ac:dyDescent="0.35">
      <c r="B16" s="48"/>
      <c r="C16" s="12">
        <v>3</v>
      </c>
      <c r="D16" s="12">
        <v>580</v>
      </c>
      <c r="E16" s="12">
        <f t="shared" si="0"/>
        <v>580000</v>
      </c>
      <c r="F16" s="12">
        <f>(21*10.5)*100</f>
        <v>22050</v>
      </c>
      <c r="G16" s="14">
        <f t="shared" si="2"/>
        <v>26.303854875283445</v>
      </c>
      <c r="H16" s="15">
        <v>45695</v>
      </c>
      <c r="I16" s="52"/>
      <c r="M16" s="48" t="s">
        <v>79</v>
      </c>
      <c r="N16" s="48"/>
      <c r="O16" s="48"/>
    </row>
    <row r="17" spans="2:21" x14ac:dyDescent="0.35">
      <c r="B17" s="48">
        <v>24</v>
      </c>
      <c r="C17" s="12">
        <v>2</v>
      </c>
      <c r="D17" s="12">
        <v>400</v>
      </c>
      <c r="E17" s="12">
        <f t="shared" si="0"/>
        <v>400000</v>
      </c>
      <c r="F17" s="12">
        <f t="shared" si="1"/>
        <v>22050</v>
      </c>
      <c r="G17" s="14">
        <f t="shared" si="2"/>
        <v>18.140589569160998</v>
      </c>
      <c r="H17" s="15">
        <v>45694</v>
      </c>
      <c r="I17" s="52">
        <f>AVERAGE(G17:G19)</f>
        <v>18.745275888133033</v>
      </c>
      <c r="M17" s="11" t="s">
        <v>28</v>
      </c>
      <c r="N17" s="11" t="s">
        <v>76</v>
      </c>
      <c r="O17" s="11" t="s">
        <v>15</v>
      </c>
    </row>
    <row r="18" spans="2:21" x14ac:dyDescent="0.35">
      <c r="B18" s="48"/>
      <c r="C18" s="12">
        <v>3</v>
      </c>
      <c r="D18" s="12">
        <v>410</v>
      </c>
      <c r="E18" s="12">
        <f t="shared" si="0"/>
        <v>410000</v>
      </c>
      <c r="F18" s="12">
        <f t="shared" si="1"/>
        <v>22050</v>
      </c>
      <c r="G18" s="14">
        <f t="shared" si="2"/>
        <v>18.594104308390023</v>
      </c>
      <c r="H18" s="15">
        <v>45694</v>
      </c>
      <c r="I18" s="52"/>
      <c r="M18" s="11">
        <v>0</v>
      </c>
      <c r="N18" s="19" t="s">
        <v>44</v>
      </c>
      <c r="O18" s="16">
        <f>I26</f>
        <v>18.649479529428408</v>
      </c>
    </row>
    <row r="19" spans="2:21" x14ac:dyDescent="0.35">
      <c r="B19" s="48"/>
      <c r="C19" s="12">
        <v>4</v>
      </c>
      <c r="D19" s="12">
        <v>430</v>
      </c>
      <c r="E19" s="12">
        <f t="shared" si="0"/>
        <v>430000</v>
      </c>
      <c r="F19" s="12">
        <f t="shared" si="1"/>
        <v>22050</v>
      </c>
      <c r="G19" s="14">
        <f t="shared" si="2"/>
        <v>19.501133786848072</v>
      </c>
      <c r="H19" s="15">
        <v>45694</v>
      </c>
      <c r="I19" s="52"/>
      <c r="M19" s="11">
        <v>6</v>
      </c>
      <c r="N19" s="19" t="s">
        <v>45</v>
      </c>
      <c r="O19" s="16">
        <f>I29</f>
        <v>18.901885736287149</v>
      </c>
    </row>
    <row r="20" spans="2:21" x14ac:dyDescent="0.35">
      <c r="M20" s="11">
        <v>12</v>
      </c>
      <c r="N20" s="19" t="s">
        <v>46</v>
      </c>
      <c r="O20" s="16">
        <f>I32</f>
        <v>18.018464012281562</v>
      </c>
    </row>
    <row r="21" spans="2:21" x14ac:dyDescent="0.35">
      <c r="M21" s="11">
        <v>18</v>
      </c>
      <c r="N21" s="19" t="s">
        <v>47</v>
      </c>
      <c r="O21" s="16">
        <f>I35</f>
        <v>18.321351460512044</v>
      </c>
    </row>
    <row r="22" spans="2:21" ht="28.5" x14ac:dyDescent="0.65">
      <c r="B22" s="34" t="s">
        <v>50</v>
      </c>
      <c r="M22" s="11">
        <v>24</v>
      </c>
      <c r="N22" s="19" t="s">
        <v>48</v>
      </c>
      <c r="O22" s="16">
        <f>I38</f>
        <v>18.927126356973023</v>
      </c>
    </row>
    <row r="24" spans="2:21" x14ac:dyDescent="0.35">
      <c r="B24" s="48" t="s">
        <v>10</v>
      </c>
      <c r="C24" s="48"/>
      <c r="D24" s="11" t="s">
        <v>11</v>
      </c>
      <c r="E24" s="11" t="s">
        <v>12</v>
      </c>
      <c r="F24" s="11" t="s">
        <v>13</v>
      </c>
      <c r="G24" s="11" t="s">
        <v>14</v>
      </c>
      <c r="H24" s="48" t="s">
        <v>15</v>
      </c>
      <c r="I24" s="48" t="s">
        <v>16</v>
      </c>
      <c r="M24" s="53" t="s">
        <v>17</v>
      </c>
      <c r="N24" s="54"/>
      <c r="O24" s="55"/>
    </row>
    <row r="25" spans="2:21" x14ac:dyDescent="0.35">
      <c r="B25" s="13" t="s">
        <v>28</v>
      </c>
      <c r="C25" s="13" t="s">
        <v>25</v>
      </c>
      <c r="D25" s="11" t="s">
        <v>31</v>
      </c>
      <c r="E25" s="11" t="s">
        <v>32</v>
      </c>
      <c r="F25" s="11" t="s">
        <v>33</v>
      </c>
      <c r="G25" s="11" t="s">
        <v>34</v>
      </c>
      <c r="H25" s="48"/>
      <c r="I25" s="48"/>
      <c r="M25" s="11" t="s">
        <v>28</v>
      </c>
      <c r="N25" s="11" t="s">
        <v>76</v>
      </c>
      <c r="O25" s="11" t="s">
        <v>23</v>
      </c>
      <c r="U25" s="35"/>
    </row>
    <row r="26" spans="2:21" x14ac:dyDescent="0.35">
      <c r="B26" s="48">
        <v>0</v>
      </c>
      <c r="C26" s="11">
        <v>1</v>
      </c>
      <c r="D26" s="11">
        <v>1670</v>
      </c>
      <c r="E26" s="11">
        <v>2720</v>
      </c>
      <c r="F26" s="17">
        <f>21*10.5*6</f>
        <v>1323</v>
      </c>
      <c r="G26" s="22">
        <v>0.99820299999999995</v>
      </c>
      <c r="H26" s="18">
        <f>(1-((E26-D26)/(F26*G26)))*100</f>
        <v>20.492044839497204</v>
      </c>
      <c r="I26" s="52">
        <f>AVERAGE(H26:H28)</f>
        <v>18.649479529428408</v>
      </c>
      <c r="M26" s="11">
        <v>0</v>
      </c>
      <c r="N26" s="19" t="s">
        <v>44</v>
      </c>
      <c r="O26" s="7">
        <f>L47</f>
        <v>0.38959416703119665</v>
      </c>
    </row>
    <row r="27" spans="2:21" x14ac:dyDescent="0.35">
      <c r="B27" s="48"/>
      <c r="C27" s="11">
        <v>2</v>
      </c>
      <c r="D27" s="11">
        <v>1653</v>
      </c>
      <c r="E27" s="11">
        <v>2719</v>
      </c>
      <c r="F27" s="17">
        <f t="shared" ref="F27:F40" si="3">21*10.5*6</f>
        <v>1323</v>
      </c>
      <c r="G27" s="22">
        <v>0.99820299999999995</v>
      </c>
      <c r="H27" s="18">
        <f t="shared" ref="H27:H40" si="4">(1-((E27-D27)/(F27*G27)))*100</f>
        <v>19.280495046575254</v>
      </c>
      <c r="I27" s="52"/>
      <c r="M27" s="11">
        <v>6</v>
      </c>
      <c r="N27" s="19" t="s">
        <v>45</v>
      </c>
      <c r="O27" s="7">
        <f>L50</f>
        <v>0.39752719462133096</v>
      </c>
    </row>
    <row r="28" spans="2:21" x14ac:dyDescent="0.35">
      <c r="B28" s="48"/>
      <c r="C28" s="11">
        <v>3</v>
      </c>
      <c r="D28" s="11">
        <v>1676</v>
      </c>
      <c r="E28" s="11">
        <v>2783</v>
      </c>
      <c r="F28" s="17">
        <f t="shared" si="3"/>
        <v>1323</v>
      </c>
      <c r="G28" s="22">
        <v>0.99820299999999995</v>
      </c>
      <c r="H28" s="18">
        <f>(1-((E28-D28)/(F28*G28)))*100</f>
        <v>16.175898702212766</v>
      </c>
      <c r="I28" s="52"/>
      <c r="M28" s="11">
        <v>12</v>
      </c>
      <c r="N28" s="19" t="s">
        <v>46</v>
      </c>
      <c r="O28" s="7">
        <f>L53</f>
        <v>0.22245502074511783</v>
      </c>
    </row>
    <row r="29" spans="2:21" x14ac:dyDescent="0.35">
      <c r="B29" s="48">
        <v>6</v>
      </c>
      <c r="C29" s="11">
        <v>1</v>
      </c>
      <c r="D29" s="11">
        <v>1599</v>
      </c>
      <c r="E29" s="11">
        <v>2668</v>
      </c>
      <c r="F29" s="17">
        <f t="shared" si="3"/>
        <v>1323</v>
      </c>
      <c r="G29" s="22">
        <v>0.99820299999999995</v>
      </c>
      <c r="H29" s="18">
        <f t="shared" si="4"/>
        <v>19.053329460402392</v>
      </c>
      <c r="I29" s="52">
        <f>AVERAGE(H29:H31)</f>
        <v>18.901885736287149</v>
      </c>
      <c r="M29" s="11">
        <v>18</v>
      </c>
      <c r="N29" s="19" t="s">
        <v>47</v>
      </c>
      <c r="O29" s="7">
        <f>L56</f>
        <v>0.30471269258741113</v>
      </c>
    </row>
    <row r="30" spans="2:21" x14ac:dyDescent="0.35">
      <c r="B30" s="48"/>
      <c r="C30" s="11">
        <v>2</v>
      </c>
      <c r="D30" s="11">
        <v>1639</v>
      </c>
      <c r="E30" s="11">
        <v>2712</v>
      </c>
      <c r="F30" s="17">
        <f t="shared" si="3"/>
        <v>1323</v>
      </c>
      <c r="G30" s="22">
        <v>0.99820299999999995</v>
      </c>
      <c r="H30" s="18">
        <f>(1-((E30-D30)/(F30*G30)))*100</f>
        <v>18.750442012171909</v>
      </c>
      <c r="I30" s="52"/>
      <c r="M30" s="11">
        <v>24</v>
      </c>
      <c r="N30" s="19" t="s">
        <v>48</v>
      </c>
      <c r="O30" s="7">
        <f>L59</f>
        <v>0.51065088126361513</v>
      </c>
    </row>
    <row r="31" spans="2:21" x14ac:dyDescent="0.35">
      <c r="B31" s="48"/>
      <c r="C31" s="11">
        <v>3</v>
      </c>
      <c r="D31" s="11">
        <v>1623</v>
      </c>
      <c r="E31" s="11">
        <v>2694</v>
      </c>
      <c r="F31" s="17">
        <f t="shared" si="3"/>
        <v>1323</v>
      </c>
      <c r="G31" s="22">
        <v>0.99820299999999995</v>
      </c>
      <c r="H31" s="18">
        <f t="shared" si="4"/>
        <v>18.901885736287149</v>
      </c>
      <c r="I31" s="52"/>
    </row>
    <row r="32" spans="2:21" x14ac:dyDescent="0.35">
      <c r="B32" s="48">
        <v>12</v>
      </c>
      <c r="C32" s="11">
        <v>1</v>
      </c>
      <c r="D32" s="11">
        <v>1621</v>
      </c>
      <c r="E32" s="11">
        <v>2666</v>
      </c>
      <c r="F32" s="17">
        <f t="shared" si="3"/>
        <v>1323</v>
      </c>
      <c r="G32" s="22">
        <v>0.99820299999999995</v>
      </c>
      <c r="H32" s="18">
        <f t="shared" si="4"/>
        <v>20.870654149785317</v>
      </c>
      <c r="I32" s="52">
        <f>AVERAGE(H32:H34)</f>
        <v>18.018464012281562</v>
      </c>
    </row>
    <row r="33" spans="2:12" x14ac:dyDescent="0.35">
      <c r="B33" s="48"/>
      <c r="C33" s="11">
        <v>2</v>
      </c>
      <c r="D33" s="11">
        <v>1648</v>
      </c>
      <c r="E33" s="11">
        <v>2735</v>
      </c>
      <c r="F33" s="17">
        <f t="shared" si="3"/>
        <v>1323</v>
      </c>
      <c r="G33" s="22">
        <v>0.99820299999999995</v>
      </c>
      <c r="H33" s="18">
        <f t="shared" si="4"/>
        <v>17.690335943365199</v>
      </c>
      <c r="I33" s="52"/>
    </row>
    <row r="34" spans="2:12" x14ac:dyDescent="0.35">
      <c r="B34" s="48"/>
      <c r="C34" s="11">
        <v>3</v>
      </c>
      <c r="D34" s="11">
        <v>1666</v>
      </c>
      <c r="E34" s="11">
        <v>2782</v>
      </c>
      <c r="F34" s="17">
        <f t="shared" si="3"/>
        <v>1323</v>
      </c>
      <c r="G34" s="22">
        <v>0.99820299999999995</v>
      </c>
      <c r="H34" s="18">
        <f t="shared" si="4"/>
        <v>15.49440194369417</v>
      </c>
      <c r="I34" s="52"/>
    </row>
    <row r="35" spans="2:12" x14ac:dyDescent="0.35">
      <c r="B35" s="48">
        <v>18</v>
      </c>
      <c r="C35" s="11">
        <v>1</v>
      </c>
      <c r="D35" s="11">
        <v>1682</v>
      </c>
      <c r="E35" s="11">
        <v>2790</v>
      </c>
      <c r="F35" s="17">
        <f t="shared" si="3"/>
        <v>1323</v>
      </c>
      <c r="G35" s="22">
        <v>0.99820299999999995</v>
      </c>
      <c r="H35" s="18">
        <f t="shared" si="4"/>
        <v>16.100176840155143</v>
      </c>
      <c r="I35" s="52">
        <f>AVERAGE(H35:H37)</f>
        <v>18.321351460512044</v>
      </c>
    </row>
    <row r="36" spans="2:12" x14ac:dyDescent="0.35">
      <c r="B36" s="48"/>
      <c r="C36" s="11">
        <v>2</v>
      </c>
      <c r="D36" s="11">
        <v>1671</v>
      </c>
      <c r="E36" s="11">
        <v>2729</v>
      </c>
      <c r="F36" s="17">
        <f t="shared" si="3"/>
        <v>1323</v>
      </c>
      <c r="G36" s="22">
        <v>0.99820299999999995</v>
      </c>
      <c r="H36" s="18">
        <f t="shared" si="4"/>
        <v>19.886269943036229</v>
      </c>
      <c r="I36" s="52"/>
    </row>
    <row r="37" spans="2:12" x14ac:dyDescent="0.35">
      <c r="B37" s="48"/>
      <c r="C37" s="11">
        <v>3</v>
      </c>
      <c r="D37" s="11">
        <v>1677</v>
      </c>
      <c r="E37" s="11">
        <v>2747</v>
      </c>
      <c r="F37" s="17">
        <f t="shared" si="3"/>
        <v>1323</v>
      </c>
      <c r="G37" s="22">
        <v>0.99820299999999995</v>
      </c>
      <c r="H37" s="18">
        <f t="shared" si="4"/>
        <v>18.977607598344768</v>
      </c>
      <c r="I37" s="52"/>
    </row>
    <row r="38" spans="2:12" x14ac:dyDescent="0.35">
      <c r="B38" s="48">
        <v>24</v>
      </c>
      <c r="C38" s="11">
        <v>1</v>
      </c>
      <c r="D38" s="11">
        <v>1662</v>
      </c>
      <c r="E38" s="11">
        <v>2737</v>
      </c>
      <c r="F38" s="17">
        <f t="shared" si="3"/>
        <v>1323</v>
      </c>
      <c r="G38" s="22">
        <v>0.99820299999999995</v>
      </c>
      <c r="H38" s="18">
        <f t="shared" si="4"/>
        <v>18.598998288056656</v>
      </c>
      <c r="I38" s="52">
        <f>AVERAGE(H38:H40)</f>
        <v>18.927126356973023</v>
      </c>
    </row>
    <row r="39" spans="2:12" x14ac:dyDescent="0.35">
      <c r="B39" s="48"/>
      <c r="C39" s="11">
        <v>2</v>
      </c>
      <c r="D39" s="11">
        <v>1648</v>
      </c>
      <c r="E39" s="11">
        <v>2701</v>
      </c>
      <c r="F39" s="17">
        <f t="shared" si="3"/>
        <v>1323</v>
      </c>
      <c r="G39" s="22">
        <v>0.99820299999999995</v>
      </c>
      <c r="H39" s="18">
        <f t="shared" si="4"/>
        <v>20.264879253324342</v>
      </c>
      <c r="I39" s="52"/>
    </row>
    <row r="40" spans="2:12" x14ac:dyDescent="0.35">
      <c r="B40" s="48"/>
      <c r="C40" s="11">
        <v>3</v>
      </c>
      <c r="D40" s="11">
        <v>1698</v>
      </c>
      <c r="E40" s="11">
        <v>2782</v>
      </c>
      <c r="F40" s="17">
        <f t="shared" si="3"/>
        <v>1323</v>
      </c>
      <c r="G40" s="22">
        <v>0.99820299999999995</v>
      </c>
      <c r="H40" s="18">
        <f t="shared" si="4"/>
        <v>17.917501529538072</v>
      </c>
      <c r="I40" s="52"/>
    </row>
    <row r="43" spans="2:12" ht="28.5" x14ac:dyDescent="0.65">
      <c r="B43" s="33" t="s">
        <v>51</v>
      </c>
    </row>
    <row r="45" spans="2:12" x14ac:dyDescent="0.35">
      <c r="B45" s="48" t="s">
        <v>17</v>
      </c>
      <c r="C45" s="48"/>
      <c r="D45" s="11" t="s">
        <v>18</v>
      </c>
      <c r="E45" s="11" t="s">
        <v>19</v>
      </c>
      <c r="F45" s="48" t="s">
        <v>20</v>
      </c>
      <c r="G45" s="48"/>
      <c r="H45" s="11" t="s">
        <v>21</v>
      </c>
      <c r="I45" s="48" t="s">
        <v>22</v>
      </c>
      <c r="J45" s="48"/>
      <c r="K45" s="48" t="s">
        <v>23</v>
      </c>
      <c r="L45" s="48" t="s">
        <v>24</v>
      </c>
    </row>
    <row r="46" spans="2:12" x14ac:dyDescent="0.35">
      <c r="B46" s="13" t="s">
        <v>28</v>
      </c>
      <c r="C46" s="13" t="s">
        <v>25</v>
      </c>
      <c r="D46" s="11" t="s">
        <v>30</v>
      </c>
      <c r="E46" s="11" t="s">
        <v>35</v>
      </c>
      <c r="F46" s="11" t="s">
        <v>36</v>
      </c>
      <c r="G46" s="11" t="s">
        <v>37</v>
      </c>
      <c r="H46" s="11" t="s">
        <v>38</v>
      </c>
      <c r="I46" s="11" t="s">
        <v>39</v>
      </c>
      <c r="J46" s="11" t="s">
        <v>40</v>
      </c>
      <c r="K46" s="48"/>
      <c r="L46" s="48"/>
    </row>
    <row r="47" spans="2:12" x14ac:dyDescent="0.35">
      <c r="B47" s="48">
        <v>0</v>
      </c>
      <c r="C47" s="11">
        <v>1</v>
      </c>
      <c r="D47" s="19">
        <v>6</v>
      </c>
      <c r="E47" s="19">
        <f t="shared" ref="E47:E61" si="5">23.3*13.3</f>
        <v>309.89000000000004</v>
      </c>
      <c r="F47" s="19">
        <v>0</v>
      </c>
      <c r="G47" s="19">
        <v>20</v>
      </c>
      <c r="H47" s="19">
        <f t="shared" ref="H47:H61" si="6">21*10.5</f>
        <v>220.5</v>
      </c>
      <c r="I47" s="19">
        <f>20-D47</f>
        <v>14</v>
      </c>
      <c r="J47" s="20">
        <f>((11.1+12.4+12.7)/3)-D47</f>
        <v>6.0666666666666682</v>
      </c>
      <c r="K47" s="21">
        <f>(D47*E47)/((G47-F47)*H47)*(LN(I47/J47))</f>
        <v>0.35257809553677505</v>
      </c>
      <c r="L47" s="56">
        <f>AVERAGE(K47:K49)</f>
        <v>0.38959416703119665</v>
      </c>
    </row>
    <row r="48" spans="2:12" x14ac:dyDescent="0.35">
      <c r="B48" s="48"/>
      <c r="C48" s="11">
        <v>2</v>
      </c>
      <c r="D48" s="19">
        <v>6</v>
      </c>
      <c r="E48" s="19">
        <f t="shared" si="5"/>
        <v>309.89000000000004</v>
      </c>
      <c r="F48" s="19">
        <v>0</v>
      </c>
      <c r="G48" s="19">
        <v>20</v>
      </c>
      <c r="H48" s="19">
        <f t="shared" si="6"/>
        <v>220.5</v>
      </c>
      <c r="I48" s="19">
        <f t="shared" ref="I48:I49" si="7">20-D48</f>
        <v>14</v>
      </c>
      <c r="J48" s="20">
        <f>((10.5+10.7+11.1)/3)-D48</f>
        <v>4.7666666666666657</v>
      </c>
      <c r="K48" s="21">
        <f>(D48*E48)/((G48-F48)*H48)*(LN(I48/J48))</f>
        <v>0.45425661225376224</v>
      </c>
      <c r="L48" s="56"/>
    </row>
    <row r="49" spans="2:12" x14ac:dyDescent="0.35">
      <c r="B49" s="48"/>
      <c r="C49" s="11">
        <v>3</v>
      </c>
      <c r="D49" s="19">
        <v>6</v>
      </c>
      <c r="E49" s="19">
        <f t="shared" si="5"/>
        <v>309.89000000000004</v>
      </c>
      <c r="F49" s="19">
        <v>0</v>
      </c>
      <c r="G49" s="19">
        <v>20</v>
      </c>
      <c r="H49" s="19">
        <f t="shared" si="6"/>
        <v>220.5</v>
      </c>
      <c r="I49" s="19">
        <f t="shared" si="7"/>
        <v>14</v>
      </c>
      <c r="J49" s="20">
        <f>((11.9+12.2+11.7)/3)-D49</f>
        <v>5.9333333333333318</v>
      </c>
      <c r="K49" s="21">
        <f>(D49*E49)/((G49-F49)*H49)*(LN(I49/J49))</f>
        <v>0.3619477933030526</v>
      </c>
      <c r="L49" s="56"/>
    </row>
    <row r="50" spans="2:12" x14ac:dyDescent="0.35">
      <c r="B50" s="48">
        <v>6</v>
      </c>
      <c r="C50" s="11">
        <v>1</v>
      </c>
      <c r="D50" s="19">
        <v>6</v>
      </c>
      <c r="E50" s="19">
        <f t="shared" si="5"/>
        <v>309.89000000000004</v>
      </c>
      <c r="F50" s="19">
        <v>0</v>
      </c>
      <c r="G50" s="19">
        <v>20</v>
      </c>
      <c r="H50" s="19">
        <f t="shared" si="6"/>
        <v>220.5</v>
      </c>
      <c r="I50" s="19">
        <f>20-D50</f>
        <v>14</v>
      </c>
      <c r="J50" s="20">
        <f>((11.9+12.3+12.7)/3)-D50</f>
        <v>6.3000000000000025</v>
      </c>
      <c r="K50" s="21">
        <f t="shared" ref="K50:K61" si="8">(D50*E50)/((G50-F50)*H50)*(LN(I50/J50))</f>
        <v>0.33666605439581654</v>
      </c>
      <c r="L50" s="56">
        <f>AVERAGE(K50:K52)</f>
        <v>0.39752719462133096</v>
      </c>
    </row>
    <row r="51" spans="2:12" x14ac:dyDescent="0.35">
      <c r="B51" s="48"/>
      <c r="C51" s="11">
        <v>2</v>
      </c>
      <c r="D51" s="19">
        <v>6</v>
      </c>
      <c r="E51" s="19">
        <f t="shared" si="5"/>
        <v>309.89000000000004</v>
      </c>
      <c r="F51" s="19">
        <v>0</v>
      </c>
      <c r="G51" s="19">
        <v>20</v>
      </c>
      <c r="H51" s="19">
        <f t="shared" si="6"/>
        <v>220.5</v>
      </c>
      <c r="I51" s="19">
        <f t="shared" ref="I51:I61" si="9">20-D51</f>
        <v>14</v>
      </c>
      <c r="J51" s="20">
        <f>((10.8+11.6)/2)-D51</f>
        <v>5.1999999999999993</v>
      </c>
      <c r="K51" s="21">
        <f t="shared" si="8"/>
        <v>0.41757095835537256</v>
      </c>
      <c r="L51" s="56"/>
    </row>
    <row r="52" spans="2:12" x14ac:dyDescent="0.35">
      <c r="B52" s="48"/>
      <c r="C52" s="11">
        <v>3</v>
      </c>
      <c r="D52" s="19">
        <v>6</v>
      </c>
      <c r="E52" s="19">
        <f t="shared" si="5"/>
        <v>309.89000000000004</v>
      </c>
      <c r="F52" s="19">
        <v>0</v>
      </c>
      <c r="G52" s="19">
        <v>20</v>
      </c>
      <c r="H52" s="19">
        <f t="shared" si="6"/>
        <v>220.5</v>
      </c>
      <c r="I52" s="19">
        <f t="shared" si="9"/>
        <v>14</v>
      </c>
      <c r="J52" s="23">
        <f>((11.1+10.8)/2)-D52</f>
        <v>4.9499999999999993</v>
      </c>
      <c r="K52" s="21">
        <f>(D52*E52)/((G52-F52)*H52)*(LN(I52/J52))</f>
        <v>0.43834457111280384</v>
      </c>
      <c r="L52" s="56"/>
    </row>
    <row r="53" spans="2:12" x14ac:dyDescent="0.35">
      <c r="B53" s="48">
        <v>12</v>
      </c>
      <c r="C53" s="11">
        <v>1</v>
      </c>
      <c r="D53" s="19">
        <v>6</v>
      </c>
      <c r="E53" s="19">
        <f t="shared" si="5"/>
        <v>309.89000000000004</v>
      </c>
      <c r="F53" s="19">
        <v>0</v>
      </c>
      <c r="G53" s="19">
        <v>20</v>
      </c>
      <c r="H53" s="19">
        <f t="shared" si="6"/>
        <v>220.5</v>
      </c>
      <c r="I53" s="19">
        <f t="shared" si="9"/>
        <v>14</v>
      </c>
      <c r="J53" s="20">
        <f>((12+12.4)/2)-D53</f>
        <v>6.1999999999999993</v>
      </c>
      <c r="K53" s="21">
        <f t="shared" si="8"/>
        <v>0.34341210307588294</v>
      </c>
      <c r="L53" s="56">
        <f>AVERAGE(K53:K55)</f>
        <v>0.22245502074511783</v>
      </c>
    </row>
    <row r="54" spans="2:12" x14ac:dyDescent="0.35">
      <c r="B54" s="48"/>
      <c r="C54" s="11">
        <v>2</v>
      </c>
      <c r="D54" s="19">
        <v>6</v>
      </c>
      <c r="E54" s="19">
        <f t="shared" si="5"/>
        <v>309.89000000000004</v>
      </c>
      <c r="F54" s="19">
        <v>0</v>
      </c>
      <c r="G54" s="19">
        <v>20</v>
      </c>
      <c r="H54" s="19">
        <f t="shared" si="6"/>
        <v>220.5</v>
      </c>
      <c r="I54" s="19">
        <f t="shared" si="9"/>
        <v>14</v>
      </c>
      <c r="J54" s="20">
        <f>((16+16.2)/2)-D54</f>
        <v>10.100000000000001</v>
      </c>
      <c r="K54" s="21">
        <f t="shared" si="8"/>
        <v>0.13766785493667946</v>
      </c>
      <c r="L54" s="56"/>
    </row>
    <row r="55" spans="2:12" x14ac:dyDescent="0.35">
      <c r="B55" s="48"/>
      <c r="C55" s="11">
        <v>3</v>
      </c>
      <c r="D55" s="19">
        <v>6</v>
      </c>
      <c r="E55" s="19">
        <f t="shared" si="5"/>
        <v>309.89000000000004</v>
      </c>
      <c r="F55" s="19">
        <v>0</v>
      </c>
      <c r="G55" s="19">
        <v>20</v>
      </c>
      <c r="H55" s="19">
        <f t="shared" si="6"/>
        <v>220.5</v>
      </c>
      <c r="I55" s="19">
        <f t="shared" si="9"/>
        <v>14</v>
      </c>
      <c r="J55" s="23">
        <f>((14.4+15.6)/2)-D55</f>
        <v>9</v>
      </c>
      <c r="K55" s="21">
        <f t="shared" si="8"/>
        <v>0.18628510422279113</v>
      </c>
      <c r="L55" s="56"/>
    </row>
    <row r="56" spans="2:12" x14ac:dyDescent="0.35">
      <c r="B56" s="48">
        <v>18</v>
      </c>
      <c r="C56" s="11">
        <v>1</v>
      </c>
      <c r="D56" s="19">
        <v>6</v>
      </c>
      <c r="E56" s="19">
        <f t="shared" si="5"/>
        <v>309.89000000000004</v>
      </c>
      <c r="F56" s="19">
        <v>0</v>
      </c>
      <c r="G56" s="19">
        <v>20</v>
      </c>
      <c r="H56" s="19">
        <f t="shared" si="6"/>
        <v>220.5</v>
      </c>
      <c r="I56" s="19">
        <f t="shared" si="9"/>
        <v>14</v>
      </c>
      <c r="J56" s="23">
        <f>((15.9+16.1)/2)-D56</f>
        <v>10</v>
      </c>
      <c r="K56" s="21">
        <f t="shared" si="8"/>
        <v>0.14186310395448665</v>
      </c>
      <c r="L56" s="56">
        <f>AVERAGE(K56:K58)</f>
        <v>0.30471269258741113</v>
      </c>
    </row>
    <row r="57" spans="2:12" x14ac:dyDescent="0.35">
      <c r="B57" s="48"/>
      <c r="C57" s="11">
        <v>2</v>
      </c>
      <c r="D57" s="19">
        <v>6</v>
      </c>
      <c r="E57" s="19">
        <f t="shared" si="5"/>
        <v>309.89000000000004</v>
      </c>
      <c r="F57" s="19">
        <v>0</v>
      </c>
      <c r="G57" s="19">
        <v>20</v>
      </c>
      <c r="H57" s="19">
        <f t="shared" si="6"/>
        <v>220.5</v>
      </c>
      <c r="I57" s="19">
        <f t="shared" si="9"/>
        <v>14</v>
      </c>
      <c r="J57" s="20">
        <f>((12+12+11.7)/3)-D57</f>
        <v>5.9</v>
      </c>
      <c r="K57" s="21">
        <f>(D57*E57)/((G57-F57)*H57)*(LN(I57/J57))</f>
        <v>0.36432311816388291</v>
      </c>
      <c r="L57" s="56"/>
    </row>
    <row r="58" spans="2:12" x14ac:dyDescent="0.35">
      <c r="B58" s="48"/>
      <c r="C58" s="11">
        <v>3</v>
      </c>
      <c r="D58" s="19">
        <v>6</v>
      </c>
      <c r="E58" s="19">
        <f t="shared" si="5"/>
        <v>309.89000000000004</v>
      </c>
      <c r="F58" s="19">
        <v>0</v>
      </c>
      <c r="G58" s="19">
        <v>20</v>
      </c>
      <c r="H58" s="19">
        <f t="shared" si="6"/>
        <v>220.5</v>
      </c>
      <c r="I58" s="19">
        <f t="shared" si="9"/>
        <v>14</v>
      </c>
      <c r="J58" s="20">
        <f>((10.8+11.4+11.5+11.4+11.5)/5)-D58</f>
        <v>5.32</v>
      </c>
      <c r="K58" s="21">
        <f t="shared" si="8"/>
        <v>0.40795185564386388</v>
      </c>
      <c r="L58" s="56"/>
    </row>
    <row r="59" spans="2:12" x14ac:dyDescent="0.35">
      <c r="B59" s="48">
        <v>24</v>
      </c>
      <c r="C59" s="11">
        <v>1</v>
      </c>
      <c r="D59" s="19">
        <v>6</v>
      </c>
      <c r="E59" s="19">
        <f t="shared" si="5"/>
        <v>309.89000000000004</v>
      </c>
      <c r="F59" s="19">
        <v>0</v>
      </c>
      <c r="G59" s="19">
        <v>20</v>
      </c>
      <c r="H59" s="19">
        <f t="shared" si="6"/>
        <v>220.5</v>
      </c>
      <c r="I59" s="19">
        <f t="shared" si="9"/>
        <v>14</v>
      </c>
      <c r="J59" s="20">
        <f>((11.5+11.8+12)/3)-D59</f>
        <v>5.7666666666666657</v>
      </c>
      <c r="K59" s="21">
        <f t="shared" si="8"/>
        <v>0.37396054456985195</v>
      </c>
      <c r="L59" s="56">
        <f>AVERAGE(K59:K61)</f>
        <v>0.51065088126361513</v>
      </c>
    </row>
    <row r="60" spans="2:12" x14ac:dyDescent="0.35">
      <c r="B60" s="48"/>
      <c r="C60" s="11">
        <v>2</v>
      </c>
      <c r="D60" s="19">
        <v>6</v>
      </c>
      <c r="E60" s="19">
        <f t="shared" si="5"/>
        <v>309.89000000000004</v>
      </c>
      <c r="F60" s="19">
        <v>0</v>
      </c>
      <c r="G60" s="19">
        <v>20</v>
      </c>
      <c r="H60" s="19">
        <f t="shared" si="6"/>
        <v>220.5</v>
      </c>
      <c r="I60" s="19">
        <f t="shared" si="9"/>
        <v>14</v>
      </c>
      <c r="J60" s="20">
        <f>((8.4+8.8+9)/3)-D60</f>
        <v>2.7333333333333343</v>
      </c>
      <c r="K60" s="21">
        <f>(D60*E60)/((G60-F60)*H60)*(LN(I60/J60))</f>
        <v>0.6887296665891679</v>
      </c>
      <c r="L60" s="56"/>
    </row>
    <row r="61" spans="2:12" x14ac:dyDescent="0.35">
      <c r="B61" s="48"/>
      <c r="C61" s="11">
        <v>3</v>
      </c>
      <c r="D61" s="19">
        <v>6</v>
      </c>
      <c r="E61" s="19">
        <f t="shared" si="5"/>
        <v>309.89000000000004</v>
      </c>
      <c r="F61" s="19">
        <v>0</v>
      </c>
      <c r="G61" s="19">
        <v>20</v>
      </c>
      <c r="H61" s="19">
        <f t="shared" si="6"/>
        <v>220.5</v>
      </c>
      <c r="I61" s="19">
        <f t="shared" si="9"/>
        <v>14</v>
      </c>
      <c r="J61" s="20">
        <f>((10.5+10.7)/2)-D61</f>
        <v>4.5999999999999996</v>
      </c>
      <c r="K61" s="21">
        <f t="shared" si="8"/>
        <v>0.46926243263182549</v>
      </c>
      <c r="L61" s="56"/>
    </row>
  </sheetData>
  <mergeCells count="47">
    <mergeCell ref="B59:B61"/>
    <mergeCell ref="L59:L61"/>
    <mergeCell ref="B14:B16"/>
    <mergeCell ref="I14:I16"/>
    <mergeCell ref="B35:B37"/>
    <mergeCell ref="I35:I37"/>
    <mergeCell ref="B56:B58"/>
    <mergeCell ref="L56:L58"/>
    <mergeCell ref="B53:B55"/>
    <mergeCell ref="L53:L55"/>
    <mergeCell ref="B50:B52"/>
    <mergeCell ref="L50:L52"/>
    <mergeCell ref="K45:K46"/>
    <mergeCell ref="L45:L46"/>
    <mergeCell ref="L47:L49"/>
    <mergeCell ref="B17:B19"/>
    <mergeCell ref="M8:O8"/>
    <mergeCell ref="B11:B13"/>
    <mergeCell ref="I11:I13"/>
    <mergeCell ref="B32:B34"/>
    <mergeCell ref="I32:I34"/>
    <mergeCell ref="B8:B10"/>
    <mergeCell ref="I8:I10"/>
    <mergeCell ref="B29:B31"/>
    <mergeCell ref="I29:I31"/>
    <mergeCell ref="M24:O24"/>
    <mergeCell ref="M16:O16"/>
    <mergeCell ref="I17:I19"/>
    <mergeCell ref="B5:B7"/>
    <mergeCell ref="I5:I7"/>
    <mergeCell ref="B26:B28"/>
    <mergeCell ref="I26:I28"/>
    <mergeCell ref="B47:B49"/>
    <mergeCell ref="B24:C24"/>
    <mergeCell ref="H24:H25"/>
    <mergeCell ref="I24:I25"/>
    <mergeCell ref="B45:C45"/>
    <mergeCell ref="F45:G45"/>
    <mergeCell ref="I45:J45"/>
    <mergeCell ref="B38:B40"/>
    <mergeCell ref="I38:I40"/>
    <mergeCell ref="I3:I4"/>
    <mergeCell ref="B2:C2"/>
    <mergeCell ref="E2:G2"/>
    <mergeCell ref="B3:C3"/>
    <mergeCell ref="G3:G4"/>
    <mergeCell ref="H3:H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55"/>
  <sheetViews>
    <sheetView zoomScale="70" zoomScaleNormal="70" workbookViewId="0">
      <selection activeCell="R39" sqref="R39"/>
    </sheetView>
  </sheetViews>
  <sheetFormatPr defaultColWidth="9.1796875" defaultRowHeight="13" x14ac:dyDescent="0.3"/>
  <cols>
    <col min="1" max="1" width="6.81640625" style="36" customWidth="1"/>
    <col min="2" max="2" width="19.36328125" style="36" bestFit="1" customWidth="1"/>
    <col min="3" max="3" width="14.08984375" style="36" bestFit="1" customWidth="1"/>
    <col min="4" max="4" width="12.08984375" style="36" customWidth="1"/>
    <col min="5" max="5" width="10.1796875" style="36" customWidth="1"/>
    <col min="6" max="7" width="9.81640625" style="36" customWidth="1"/>
    <col min="8" max="8" width="10.26953125" style="36" customWidth="1"/>
    <col min="9" max="9" width="11.7265625" style="36" bestFit="1" customWidth="1"/>
    <col min="10" max="10" width="11.54296875" style="36" bestFit="1" customWidth="1"/>
    <col min="11" max="16384" width="9.1796875" style="36"/>
  </cols>
  <sheetData>
    <row r="2" spans="2:10" ht="26" x14ac:dyDescent="0.6">
      <c r="B2" s="45" t="s">
        <v>67</v>
      </c>
    </row>
    <row r="4" spans="2:10" x14ac:dyDescent="0.3">
      <c r="B4" s="58" t="s">
        <v>25</v>
      </c>
      <c r="C4" s="58" t="s">
        <v>66</v>
      </c>
      <c r="D4" s="58"/>
      <c r="E4" s="58"/>
      <c r="F4" s="58"/>
      <c r="G4" s="58"/>
      <c r="H4" s="58"/>
      <c r="I4" s="58"/>
      <c r="J4" s="58"/>
    </row>
    <row r="5" spans="2:10" x14ac:dyDescent="0.3">
      <c r="B5" s="58"/>
      <c r="C5" s="37" t="s">
        <v>58</v>
      </c>
      <c r="D5" s="37" t="s">
        <v>59</v>
      </c>
      <c r="E5" s="37" t="s">
        <v>60</v>
      </c>
      <c r="F5" s="37" t="s">
        <v>61</v>
      </c>
      <c r="G5" s="37" t="s">
        <v>62</v>
      </c>
      <c r="H5" s="37" t="s">
        <v>63</v>
      </c>
      <c r="I5" s="37" t="s">
        <v>64</v>
      </c>
      <c r="J5" s="37" t="s">
        <v>58</v>
      </c>
    </row>
    <row r="6" spans="2:10" x14ac:dyDescent="0.3">
      <c r="B6" s="58"/>
      <c r="C6" s="38">
        <v>45712</v>
      </c>
      <c r="D6" s="38">
        <v>45713</v>
      </c>
      <c r="E6" s="38">
        <v>45714</v>
      </c>
      <c r="F6" s="38">
        <v>45715</v>
      </c>
      <c r="G6" s="38">
        <v>45716</v>
      </c>
      <c r="H6" s="38">
        <v>45717</v>
      </c>
      <c r="I6" s="38">
        <v>45718</v>
      </c>
      <c r="J6" s="38">
        <v>45719</v>
      </c>
    </row>
    <row r="7" spans="2:10" x14ac:dyDescent="0.3">
      <c r="B7" s="39">
        <v>1</v>
      </c>
      <c r="C7" s="37">
        <v>5.48</v>
      </c>
      <c r="D7" s="37">
        <v>10.75</v>
      </c>
      <c r="E7" s="37">
        <v>13</v>
      </c>
      <c r="F7" s="37">
        <v>14</v>
      </c>
      <c r="G7" s="37">
        <v>12.5</v>
      </c>
      <c r="H7" s="37">
        <v>6.75</v>
      </c>
      <c r="I7" s="37">
        <v>7.5</v>
      </c>
      <c r="J7" s="37">
        <v>8.75</v>
      </c>
    </row>
    <row r="8" spans="2:10" x14ac:dyDescent="0.3">
      <c r="B8" s="39">
        <v>2</v>
      </c>
      <c r="C8" s="37">
        <v>11.9</v>
      </c>
      <c r="D8" s="37">
        <v>18.5</v>
      </c>
      <c r="E8" s="37">
        <v>12.25</v>
      </c>
      <c r="F8" s="37">
        <v>10</v>
      </c>
      <c r="G8" s="37">
        <v>8.25</v>
      </c>
      <c r="H8" s="37">
        <v>10.5</v>
      </c>
      <c r="I8" s="37">
        <v>14.25</v>
      </c>
      <c r="J8" s="37">
        <v>7</v>
      </c>
    </row>
    <row r="9" spans="2:10" x14ac:dyDescent="0.3">
      <c r="B9" s="39">
        <v>3</v>
      </c>
      <c r="C9" s="37">
        <v>15.1</v>
      </c>
      <c r="D9" s="37">
        <v>6.75</v>
      </c>
      <c r="E9" s="37">
        <v>14.75</v>
      </c>
      <c r="F9" s="37">
        <v>8.4</v>
      </c>
      <c r="G9" s="37">
        <v>7.75</v>
      </c>
      <c r="H9" s="37">
        <v>9.25</v>
      </c>
      <c r="I9" s="37">
        <v>13.5</v>
      </c>
      <c r="J9" s="37">
        <v>13.75</v>
      </c>
    </row>
    <row r="10" spans="2:10" x14ac:dyDescent="0.3">
      <c r="B10" s="39">
        <v>4</v>
      </c>
      <c r="C10" s="37">
        <v>14.75</v>
      </c>
      <c r="D10" s="37">
        <v>12.75</v>
      </c>
      <c r="E10" s="37">
        <v>8.9</v>
      </c>
      <c r="F10" s="37">
        <v>9.9</v>
      </c>
      <c r="G10" s="37">
        <v>15.5</v>
      </c>
      <c r="H10" s="37">
        <v>5.25</v>
      </c>
      <c r="I10" s="37">
        <v>6.8</v>
      </c>
      <c r="J10" s="37">
        <v>5.5</v>
      </c>
    </row>
    <row r="11" spans="2:10" x14ac:dyDescent="0.3">
      <c r="B11" s="39">
        <v>5</v>
      </c>
      <c r="C11" s="37">
        <v>11</v>
      </c>
      <c r="D11" s="37">
        <v>13</v>
      </c>
      <c r="E11" s="37">
        <v>16</v>
      </c>
      <c r="F11" s="37">
        <v>12.1</v>
      </c>
      <c r="G11" s="37">
        <v>9.5</v>
      </c>
      <c r="H11" s="37">
        <v>12.75</v>
      </c>
      <c r="I11" s="37">
        <v>9.5</v>
      </c>
      <c r="J11" s="37">
        <v>9.75</v>
      </c>
    </row>
    <row r="12" spans="2:10" x14ac:dyDescent="0.3">
      <c r="B12" s="39">
        <v>6</v>
      </c>
      <c r="C12" s="37">
        <v>14.65</v>
      </c>
      <c r="D12" s="37">
        <v>6.5</v>
      </c>
      <c r="E12" s="37">
        <v>15.75</v>
      </c>
      <c r="F12" s="37">
        <v>19.25</v>
      </c>
      <c r="G12" s="37"/>
      <c r="H12" s="37">
        <v>8.75</v>
      </c>
      <c r="I12" s="37">
        <v>7.6</v>
      </c>
      <c r="J12" s="37">
        <v>12</v>
      </c>
    </row>
    <row r="13" spans="2:10" x14ac:dyDescent="0.3">
      <c r="B13" s="39">
        <v>7</v>
      </c>
      <c r="C13" s="37">
        <v>8.75</v>
      </c>
      <c r="D13" s="37">
        <v>15</v>
      </c>
      <c r="E13" s="37">
        <f>5*2.8</f>
        <v>14</v>
      </c>
      <c r="F13" s="37">
        <v>18.399999999999999</v>
      </c>
      <c r="G13" s="37"/>
      <c r="H13" s="37">
        <v>11.5</v>
      </c>
      <c r="I13" s="37">
        <v>7.25</v>
      </c>
      <c r="J13" s="37">
        <v>8</v>
      </c>
    </row>
    <row r="14" spans="2:10" x14ac:dyDescent="0.3">
      <c r="B14" s="39">
        <v>8</v>
      </c>
      <c r="C14" s="37">
        <v>10.25</v>
      </c>
      <c r="D14" s="37">
        <v>6.8</v>
      </c>
      <c r="E14" s="37"/>
      <c r="F14" s="37">
        <v>4.75</v>
      </c>
      <c r="G14" s="37"/>
      <c r="H14" s="37"/>
      <c r="I14" s="37">
        <v>11</v>
      </c>
      <c r="J14" s="37">
        <v>6.5</v>
      </c>
    </row>
    <row r="15" spans="2:10" x14ac:dyDescent="0.3">
      <c r="B15" s="39">
        <v>9</v>
      </c>
      <c r="C15" s="37">
        <v>8.1999999999999993</v>
      </c>
      <c r="D15" s="37">
        <v>10</v>
      </c>
      <c r="E15" s="37"/>
      <c r="F15" s="37">
        <v>7</v>
      </c>
      <c r="G15" s="37"/>
      <c r="H15" s="37"/>
      <c r="I15" s="37"/>
      <c r="J15" s="37">
        <v>14.25</v>
      </c>
    </row>
    <row r="16" spans="2:10" x14ac:dyDescent="0.3">
      <c r="B16" s="39">
        <v>10</v>
      </c>
      <c r="C16" s="37"/>
      <c r="D16" s="37">
        <v>5.75</v>
      </c>
      <c r="E16" s="37"/>
      <c r="F16" s="37"/>
      <c r="G16" s="37"/>
      <c r="H16" s="37"/>
      <c r="I16" s="37"/>
      <c r="J16" s="37">
        <v>8.75</v>
      </c>
    </row>
    <row r="17" spans="2:10" x14ac:dyDescent="0.3">
      <c r="B17" s="39" t="s">
        <v>0</v>
      </c>
      <c r="C17" s="37">
        <f>SUM(C7:C16)</f>
        <v>100.08000000000001</v>
      </c>
      <c r="D17" s="37">
        <f>SUM(D7:D16)</f>
        <v>105.8</v>
      </c>
      <c r="E17" s="37">
        <f t="shared" ref="E17" si="0">SUM(E7:E15)</f>
        <v>94.65</v>
      </c>
      <c r="F17" s="37">
        <f>SUM(F7:F15)</f>
        <v>103.80000000000001</v>
      </c>
      <c r="G17" s="37">
        <f>SUM(G7:G15)</f>
        <v>53.5</v>
      </c>
      <c r="H17" s="37">
        <f>SUM(H7:H14)</f>
        <v>64.75</v>
      </c>
      <c r="I17" s="37">
        <f>SUM(I7:I15)</f>
        <v>77.400000000000006</v>
      </c>
      <c r="J17" s="37">
        <f>SUM(J7:J16)</f>
        <v>94.25</v>
      </c>
    </row>
    <row r="18" spans="2:10" x14ac:dyDescent="0.3">
      <c r="B18" s="59" t="s">
        <v>65</v>
      </c>
      <c r="C18" s="59"/>
      <c r="D18" s="59"/>
      <c r="E18" s="59"/>
      <c r="F18" s="59"/>
      <c r="G18" s="59"/>
      <c r="H18" s="59"/>
      <c r="I18" s="59"/>
      <c r="J18" s="40">
        <f>AVERAGE(C17:J17)</f>
        <v>86.778749999999988</v>
      </c>
    </row>
    <row r="21" spans="2:10" ht="30" x14ac:dyDescent="0.6">
      <c r="B21" s="45" t="s">
        <v>80</v>
      </c>
    </row>
    <row r="22" spans="2:10" ht="13.5" thickBot="1" x14ac:dyDescent="0.35"/>
    <row r="23" spans="2:10" ht="13.5" thickBot="1" x14ac:dyDescent="0.35">
      <c r="B23" s="60" t="s">
        <v>53</v>
      </c>
      <c r="C23" s="62" t="s">
        <v>55</v>
      </c>
      <c r="D23" s="62"/>
      <c r="E23" s="62"/>
      <c r="F23" s="62"/>
      <c r="G23" s="62"/>
    </row>
    <row r="24" spans="2:10" ht="13.5" thickBot="1" x14ac:dyDescent="0.35">
      <c r="B24" s="61"/>
      <c r="C24" s="1">
        <v>0</v>
      </c>
      <c r="D24" s="5">
        <v>6</v>
      </c>
      <c r="E24" s="5">
        <v>12</v>
      </c>
      <c r="F24" s="5">
        <v>18</v>
      </c>
      <c r="G24" s="5">
        <v>24</v>
      </c>
    </row>
    <row r="25" spans="2:10" ht="13.5" thickBot="1" x14ac:dyDescent="0.35">
      <c r="B25" s="41" t="s">
        <v>2</v>
      </c>
      <c r="C25" s="1">
        <v>1321</v>
      </c>
      <c r="D25" s="1">
        <v>1321</v>
      </c>
      <c r="E25" s="1">
        <v>1321</v>
      </c>
      <c r="F25" s="1">
        <v>1321</v>
      </c>
      <c r="G25" s="1">
        <v>1321</v>
      </c>
    </row>
    <row r="26" spans="2:10" ht="13.5" thickBot="1" x14ac:dyDescent="0.35">
      <c r="B26" s="42" t="s">
        <v>1</v>
      </c>
      <c r="C26" s="43">
        <v>101.7</v>
      </c>
      <c r="D26" s="43">
        <v>96.6</v>
      </c>
      <c r="E26" s="43">
        <v>91.5</v>
      </c>
      <c r="F26" s="43">
        <v>86.4</v>
      </c>
      <c r="G26" s="43">
        <v>81.3</v>
      </c>
    </row>
    <row r="27" spans="2:10" ht="13.5" thickBot="1" x14ac:dyDescent="0.35">
      <c r="B27" s="44" t="s">
        <v>56</v>
      </c>
      <c r="C27" s="5">
        <v>393.8</v>
      </c>
      <c r="D27" s="5">
        <v>393.8</v>
      </c>
      <c r="E27" s="5">
        <v>393.8</v>
      </c>
      <c r="F27" s="5">
        <v>393.8</v>
      </c>
      <c r="G27" s="5">
        <v>393.8</v>
      </c>
    </row>
    <row r="28" spans="2:10" ht="13.5" thickBot="1" x14ac:dyDescent="0.35">
      <c r="B28" s="42" t="s">
        <v>54</v>
      </c>
      <c r="C28" s="43">
        <v>133.9</v>
      </c>
      <c r="D28" s="43">
        <v>133.9</v>
      </c>
      <c r="E28" s="43">
        <v>133.9</v>
      </c>
      <c r="F28" s="43">
        <v>133.9</v>
      </c>
      <c r="G28" s="43">
        <v>133.9</v>
      </c>
    </row>
    <row r="29" spans="2:10" ht="13.5" thickBot="1" x14ac:dyDescent="0.35">
      <c r="B29" s="44" t="s">
        <v>57</v>
      </c>
      <c r="C29" s="5">
        <v>0</v>
      </c>
      <c r="D29" s="5">
        <v>5.0999999999999996</v>
      </c>
      <c r="E29" s="5">
        <v>10.199999999999999</v>
      </c>
      <c r="F29" s="5">
        <v>15.3</v>
      </c>
      <c r="G29" s="5">
        <v>20.399999999999999</v>
      </c>
    </row>
    <row r="31" spans="2:10" ht="26" x14ac:dyDescent="0.3">
      <c r="B31" s="46" t="s">
        <v>81</v>
      </c>
    </row>
    <row r="32" spans="2:10" ht="13.5" thickBot="1" x14ac:dyDescent="0.35"/>
    <row r="33" spans="2:4" ht="13.5" thickBot="1" x14ac:dyDescent="0.35">
      <c r="B33" s="57" t="s">
        <v>78</v>
      </c>
      <c r="C33" s="57"/>
      <c r="D33" s="57"/>
    </row>
    <row r="34" spans="2:4" ht="13.5" thickBot="1" x14ac:dyDescent="0.35">
      <c r="B34" s="47" t="s">
        <v>28</v>
      </c>
      <c r="C34" s="47" t="s">
        <v>76</v>
      </c>
      <c r="D34" s="1" t="s">
        <v>77</v>
      </c>
    </row>
    <row r="35" spans="2:4" ht="13.5" thickBot="1" x14ac:dyDescent="0.35">
      <c r="B35" s="24">
        <v>0</v>
      </c>
      <c r="C35" s="2" t="s">
        <v>44</v>
      </c>
      <c r="D35" s="4">
        <f>'PCPB Testing'!O10</f>
        <v>22.222222222222218</v>
      </c>
    </row>
    <row r="36" spans="2:4" ht="13.5" thickBot="1" x14ac:dyDescent="0.35">
      <c r="B36" s="25">
        <v>6</v>
      </c>
      <c r="C36" s="3" t="s">
        <v>45</v>
      </c>
      <c r="D36" s="29">
        <f>'PCPB Testing'!O11</f>
        <v>21.466364323507179</v>
      </c>
    </row>
    <row r="37" spans="2:4" ht="13.5" thickBot="1" x14ac:dyDescent="0.35">
      <c r="B37" s="24">
        <v>12</v>
      </c>
      <c r="C37" s="4" t="s">
        <v>46</v>
      </c>
      <c r="D37" s="4">
        <f>'PCPB Testing'!O12</f>
        <v>27.210884353741495</v>
      </c>
    </row>
    <row r="38" spans="2:4" ht="13.5" thickBot="1" x14ac:dyDescent="0.35">
      <c r="B38" s="25">
        <v>18</v>
      </c>
      <c r="C38" s="3" t="s">
        <v>47</v>
      </c>
      <c r="D38" s="29">
        <f>'PCPB Testing'!O13</f>
        <v>23.582766439909296</v>
      </c>
    </row>
    <row r="39" spans="2:4" ht="13.5" thickBot="1" x14ac:dyDescent="0.35">
      <c r="B39" s="26">
        <v>24</v>
      </c>
      <c r="C39" s="1" t="s">
        <v>52</v>
      </c>
      <c r="D39" s="30">
        <f>'PCPB Testing'!O14</f>
        <v>18.745275888133033</v>
      </c>
    </row>
    <row r="40" spans="2:4" ht="13.5" thickBot="1" x14ac:dyDescent="0.35"/>
    <row r="41" spans="2:4" ht="13.5" thickBot="1" x14ac:dyDescent="0.35">
      <c r="B41" s="57" t="s">
        <v>10</v>
      </c>
      <c r="C41" s="57"/>
      <c r="D41" s="57"/>
    </row>
    <row r="42" spans="2:4" ht="13.5" thickBot="1" x14ac:dyDescent="0.35">
      <c r="B42" s="47" t="s">
        <v>28</v>
      </c>
      <c r="C42" s="47" t="s">
        <v>76</v>
      </c>
      <c r="D42" s="1" t="s">
        <v>15</v>
      </c>
    </row>
    <row r="43" spans="2:4" ht="13.5" thickBot="1" x14ac:dyDescent="0.35">
      <c r="B43" s="24">
        <v>0</v>
      </c>
      <c r="C43" s="2" t="s">
        <v>44</v>
      </c>
      <c r="D43" s="4">
        <f>'PCPB Testing'!O18</f>
        <v>18.649479529428408</v>
      </c>
    </row>
    <row r="44" spans="2:4" ht="13.5" thickBot="1" x14ac:dyDescent="0.35">
      <c r="B44" s="25">
        <v>6</v>
      </c>
      <c r="C44" s="3" t="s">
        <v>45</v>
      </c>
      <c r="D44" s="29">
        <f>'PCPB Testing'!O19</f>
        <v>18.901885736287149</v>
      </c>
    </row>
    <row r="45" spans="2:4" ht="13.5" thickBot="1" x14ac:dyDescent="0.35">
      <c r="B45" s="24">
        <v>12</v>
      </c>
      <c r="C45" s="4" t="s">
        <v>46</v>
      </c>
      <c r="D45" s="4">
        <f>'PCPB Testing'!O20</f>
        <v>18.018464012281562</v>
      </c>
    </row>
    <row r="46" spans="2:4" ht="13.5" thickBot="1" x14ac:dyDescent="0.35">
      <c r="B46" s="25">
        <v>18</v>
      </c>
      <c r="C46" s="3" t="s">
        <v>47</v>
      </c>
      <c r="D46" s="29">
        <f>'PCPB Testing'!O21</f>
        <v>18.321351460512044</v>
      </c>
    </row>
    <row r="47" spans="2:4" ht="13.5" thickBot="1" x14ac:dyDescent="0.35">
      <c r="B47" s="26">
        <v>24</v>
      </c>
      <c r="C47" s="1" t="s">
        <v>52</v>
      </c>
      <c r="D47" s="30">
        <f>'PCPB Testing'!O22</f>
        <v>18.927126356973023</v>
      </c>
    </row>
    <row r="48" spans="2:4" ht="13.5" thickBot="1" x14ac:dyDescent="0.35"/>
    <row r="49" spans="2:4" ht="13.5" thickBot="1" x14ac:dyDescent="0.35">
      <c r="B49" s="57" t="s">
        <v>17</v>
      </c>
      <c r="C49" s="57"/>
      <c r="D49" s="57"/>
    </row>
    <row r="50" spans="2:4" ht="13.5" thickBot="1" x14ac:dyDescent="0.35">
      <c r="B50" s="47" t="s">
        <v>28</v>
      </c>
      <c r="C50" s="47" t="s">
        <v>76</v>
      </c>
      <c r="D50" s="1" t="s">
        <v>23</v>
      </c>
    </row>
    <row r="51" spans="2:4" ht="13.5" thickBot="1" x14ac:dyDescent="0.35">
      <c r="B51" s="24">
        <v>0</v>
      </c>
      <c r="C51" s="2" t="s">
        <v>44</v>
      </c>
      <c r="D51" s="2">
        <f>'PCPB Testing'!O26</f>
        <v>0.38959416703119665</v>
      </c>
    </row>
    <row r="52" spans="2:4" ht="13.5" thickBot="1" x14ac:dyDescent="0.35">
      <c r="B52" s="25">
        <v>6</v>
      </c>
      <c r="C52" s="3" t="s">
        <v>45</v>
      </c>
      <c r="D52" s="27">
        <f>'PCPB Testing'!O27</f>
        <v>0.39752719462133096</v>
      </c>
    </row>
    <row r="53" spans="2:4" ht="13.5" thickBot="1" x14ac:dyDescent="0.35">
      <c r="B53" s="24">
        <v>12</v>
      </c>
      <c r="C53" s="4" t="s">
        <v>46</v>
      </c>
      <c r="D53" s="2">
        <f>'PCPB Testing'!O28</f>
        <v>0.22245502074511783</v>
      </c>
    </row>
    <row r="54" spans="2:4" ht="13.5" thickBot="1" x14ac:dyDescent="0.35">
      <c r="B54" s="25">
        <v>18</v>
      </c>
      <c r="C54" s="3" t="s">
        <v>47</v>
      </c>
      <c r="D54" s="27">
        <f>'PCPB Testing'!O29</f>
        <v>0.30471269258741113</v>
      </c>
    </row>
    <row r="55" spans="2:4" ht="13.5" thickBot="1" x14ac:dyDescent="0.35">
      <c r="B55" s="26">
        <v>24</v>
      </c>
      <c r="C55" s="1" t="s">
        <v>52</v>
      </c>
      <c r="D55" s="28">
        <f>'PCPB Testing'!O30</f>
        <v>0.51065088126361513</v>
      </c>
    </row>
  </sheetData>
  <mergeCells count="8">
    <mergeCell ref="B4:B6"/>
    <mergeCell ref="B33:D33"/>
    <mergeCell ref="B41:D41"/>
    <mergeCell ref="B49:D49"/>
    <mergeCell ref="C4:J4"/>
    <mergeCell ref="B18:I18"/>
    <mergeCell ref="B23:B24"/>
    <mergeCell ref="C23:G23"/>
  </mergeCells>
  <pageMargins left="0.7" right="0.7" top="0.75" bottom="0.75" header="0.3" footer="0.3"/>
  <pageSetup orientation="portrait" r:id="rId1"/>
  <ignoredErrors>
    <ignoredError sqref="C17:J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GMS Waste Production</vt:lpstr>
      <vt:lpstr>PCPB Testing</vt:lpstr>
      <vt:lpstr>Recapitulations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Sholeh Arifin</dc:creator>
  <cp:lastModifiedBy>Muhammad Sholeh Arifin</cp:lastModifiedBy>
  <cp:lastPrinted>2025-09-02T08:20:14Z</cp:lastPrinted>
  <dcterms:created xsi:type="dcterms:W3CDTF">2024-08-29T13:56:04Z</dcterms:created>
  <dcterms:modified xsi:type="dcterms:W3CDTF">2025-09-16T15:48:24Z</dcterms:modified>
</cp:coreProperties>
</file>