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663" firstSheet="1" activeTab="7"/>
  </bookViews>
  <sheets>
    <sheet name="Tabel Hidrologi" sheetId="1" r:id="rId1"/>
    <sheet name="CH 10 Th" sheetId="2" r:id="rId2"/>
    <sheet name="Log Normal" sheetId="3" r:id="rId3"/>
    <sheet name=" Log Person III" sheetId="4" r:id="rId4"/>
    <sheet name="Distribusi Gumbel" sheetId="5" r:id="rId5"/>
    <sheet name="Distribusi Normal" sheetId="6" r:id="rId6"/>
    <sheet name="Rekap" sheetId="7" r:id="rId7"/>
    <sheet name="Nakayasu" sheetId="8" r:id="rId8"/>
    <sheet name="Grafik" sheetId="9" r:id="rId9"/>
  </sheets>
  <externalReferences>
    <externalReference r:id="rId12"/>
  </externalReferences>
  <definedNames>
    <definedName name="__123Graph_A" hidden="1">'[1]Sheet1'!$E$36:$E$62</definedName>
    <definedName name="__123Graph_B" hidden="1">'[1]Sheet1'!$I$36:$I$62</definedName>
    <definedName name="__123Graph_X" hidden="1">'[1]Sheet1'!$C$36:$C$62</definedName>
    <definedName name="_Hlk20690536" localSheetId="0">'Tabel Hidrologi'!$A$111</definedName>
    <definedName name="_Hlk23176702" localSheetId="0">'Tabel Hidrologi'!$A$58</definedName>
    <definedName name="_xlfn.LOGNORM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<sst xmlns="http://schemas.openxmlformats.org/spreadsheetml/2006/main" count="774" uniqueCount="437">
  <si>
    <t>NO</t>
  </si>
  <si>
    <t>BULAN / TAHUN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</si>
  <si>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</si>
  <si>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</si>
  <si>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</si>
  <si>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</si>
  <si>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</si>
  <si>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</si>
  <si>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</si>
  <si>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</si>
  <si>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</si>
  <si>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</si>
  <si>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</si>
  <si>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</si>
  <si>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CH</t>
  </si>
  <si>
    <t>Jumlah</t>
  </si>
  <si>
    <t>Rata-rata</t>
  </si>
  <si>
    <t>Jumlah BB</t>
  </si>
  <si>
    <t>Jumlah BK</t>
  </si>
  <si>
    <t>-</t>
  </si>
  <si>
    <t>KETERANGAN:</t>
  </si>
  <si>
    <t>`</t>
  </si>
  <si>
    <t>No</t>
  </si>
  <si>
    <t>Dari Hasil Perhitungan diperoleh :</t>
  </si>
  <si>
    <t>n</t>
  </si>
  <si>
    <t>Sx</t>
  </si>
  <si>
    <t>Sn</t>
  </si>
  <si>
    <t>Yn</t>
  </si>
  <si>
    <t>=</t>
  </si>
  <si>
    <t>Jumlah Data</t>
  </si>
  <si>
    <t>K</t>
  </si>
  <si>
    <t>Periode Ulang</t>
  </si>
  <si>
    <t>α</t>
  </si>
  <si>
    <t>&lt;</t>
  </si>
  <si>
    <t>DK</t>
  </si>
  <si>
    <t>&lt; X &lt;</t>
  </si>
  <si>
    <t>Oi</t>
  </si>
  <si>
    <t>Ei</t>
  </si>
  <si>
    <t xml:space="preserve">Kemungkinan </t>
  </si>
  <si>
    <t>Xmaks + (0,5*ΔX)</t>
  </si>
  <si>
    <t>Xakhir</t>
  </si>
  <si>
    <t>Xawal</t>
  </si>
  <si>
    <t>( Xmaks-Xmin ) / K -1</t>
  </si>
  <si>
    <t>n / K</t>
  </si>
  <si>
    <t>K - (P+1)</t>
  </si>
  <si>
    <t>1+ 3,322 log n</t>
  </si>
  <si>
    <t>digunakan persamaan sebagai berikut:</t>
  </si>
  <si>
    <t xml:space="preserve">Uji Sebaran Chi Kuadrat (Chi Squart test) </t>
  </si>
  <si>
    <t>Pengujian Kecocokan Sebaran</t>
  </si>
  <si>
    <t>C.</t>
  </si>
  <si>
    <t>Mendekati</t>
  </si>
  <si>
    <t>Distribusi Log Normal</t>
  </si>
  <si>
    <t>Distribusi Normal</t>
  </si>
  <si>
    <t>Keterangan</t>
  </si>
  <si>
    <t>Hasil Perhitungan</t>
  </si>
  <si>
    <t>Syarat</t>
  </si>
  <si>
    <t xml:space="preserve">Jenis </t>
  </si>
  <si>
    <t xml:space="preserve">Normal </t>
  </si>
  <si>
    <t>Log Normal</t>
  </si>
  <si>
    <t>Periode (th)</t>
  </si>
  <si>
    <t>Peluang</t>
  </si>
  <si>
    <t>Cs</t>
  </si>
  <si>
    <t>Cv</t>
  </si>
  <si>
    <t>Ck</t>
  </si>
  <si>
    <t>Dispersi</t>
  </si>
  <si>
    <t>Tabel  Faktor frekuensi sebaran normal</t>
  </si>
  <si>
    <t xml:space="preserve">Prosentase(%) </t>
  </si>
  <si>
    <t>kemungkinan</t>
  </si>
  <si>
    <t>n&gt;50</t>
  </si>
  <si>
    <t>Smirnov Kolmogorov</t>
  </si>
  <si>
    <t xml:space="preserve">Tabel </t>
  </si>
  <si>
    <t>4+.728</t>
  </si>
  <si>
    <t>Distribusi X2</t>
  </si>
  <si>
    <t>Tabel Chi Square Test</t>
  </si>
  <si>
    <t xml:space="preserve">Chi Squares Test (Uji Chi Kwadrat) </t>
  </si>
  <si>
    <t>Uji Sebaran</t>
  </si>
  <si>
    <t>Tabel : Mean dan Standart Deviation untuk reduced Variate Gumble</t>
  </si>
  <si>
    <t>Cs&lt;0</t>
  </si>
  <si>
    <t>Pereode Ulang</t>
  </si>
  <si>
    <t>Asimetri</t>
  </si>
  <si>
    <t>Cs&gt;0</t>
  </si>
  <si>
    <t>Tabel  Faktor  K untuk sebaran Pearson III</t>
  </si>
  <si>
    <t>Pereode Ulang T tahun</t>
  </si>
  <si>
    <t>Tabel   Faktor Frekuensi Log Normal</t>
  </si>
  <si>
    <t>Sumber : Revised and enlarged edition of the Rainfall analysis in Java</t>
  </si>
  <si>
    <t>Dist Kuml</t>
  </si>
  <si>
    <t>% Dist</t>
  </si>
  <si>
    <t>Waktu(Mnt)</t>
  </si>
  <si>
    <t>Tabel  Prosentase Distribusi Hujan</t>
  </si>
  <si>
    <t>2 0.</t>
  </si>
  <si>
    <t>Kt</t>
  </si>
  <si>
    <t>Gumbel</t>
  </si>
  <si>
    <t>Tidak</t>
  </si>
  <si>
    <t>Perhitungan Metode Distribusi Normal</t>
  </si>
  <si>
    <t xml:space="preserve"> No</t>
  </si>
  <si>
    <t>X̅</t>
  </si>
  <si>
    <t>(Xi - X̅)²</t>
  </si>
  <si>
    <t>(Xi - X̅)³</t>
  </si>
  <si>
    <t>(Xi - X̅)⁴</t>
  </si>
  <si>
    <t>Tahun Pengamatan</t>
  </si>
  <si>
    <t>Dari tabel diatas maka dapat dicari nilai Standar Deviasinya sebagai berikut :</t>
  </si>
  <si>
    <t>Tabel Perhitungan Standar Deviasi Curah Hujan</t>
  </si>
  <si>
    <t>Tabel Curah Hujan Rencana Metode Distribusi Normal</t>
  </si>
  <si>
    <t>Kτ</t>
  </si>
  <si>
    <t>Xτ (mm)</t>
  </si>
  <si>
    <r>
      <t xml:space="preserve">Xτ </t>
    </r>
    <r>
      <rPr>
        <sz val="10"/>
        <color indexed="8"/>
        <rFont val="Arial"/>
        <family val="2"/>
      </rPr>
      <t>(mm)</t>
    </r>
  </si>
  <si>
    <t>Periode Ulang T (Tahun)</t>
  </si>
  <si>
    <r>
      <t>Rmaks mm (</t>
    </r>
    <r>
      <rPr>
        <i/>
        <sz val="11"/>
        <color indexed="8"/>
        <rFont val="Arial"/>
        <family val="2"/>
      </rPr>
      <t>Xi</t>
    </r>
    <r>
      <rPr>
        <sz val="11"/>
        <color indexed="8"/>
        <rFont val="Arial"/>
        <family val="2"/>
      </rPr>
      <t>)</t>
    </r>
  </si>
  <si>
    <r>
      <t>Log X</t>
    </r>
    <r>
      <rPr>
        <sz val="10"/>
        <color indexed="8"/>
        <rFont val="Arial"/>
        <family val="2"/>
      </rPr>
      <t>i</t>
    </r>
  </si>
  <si>
    <r>
      <t>Rmaks mm (X</t>
    </r>
    <r>
      <rPr>
        <sz val="9"/>
        <color indexed="8"/>
        <rFont val="Arial"/>
        <family val="2"/>
      </rPr>
      <t>i</t>
    </r>
    <r>
      <rPr>
        <sz val="11"/>
        <color indexed="8"/>
        <rFont val="Arial"/>
        <family val="2"/>
      </rPr>
      <t>)</t>
    </r>
  </si>
  <si>
    <r>
      <t>(X</t>
    </r>
    <r>
      <rPr>
        <sz val="9"/>
        <color indexed="8"/>
        <rFont val="Arial"/>
        <family val="2"/>
      </rPr>
      <t>i</t>
    </r>
    <r>
      <rPr>
        <sz val="11"/>
        <color indexed="8"/>
        <rFont val="Arial"/>
        <family val="2"/>
      </rPr>
      <t>-X̅)</t>
    </r>
  </si>
  <si>
    <t>LogX̅</t>
  </si>
  <si>
    <t>(LogXi - LogX̅)²</t>
  </si>
  <si>
    <t>Tabel Perhitungan Metode Distribusi Log Normal</t>
  </si>
  <si>
    <t>S Log x</t>
  </si>
  <si>
    <r>
      <t>Log X</t>
    </r>
    <r>
      <rPr>
        <sz val="8"/>
        <color indexed="8"/>
        <rFont val="Arial"/>
        <family val="2"/>
      </rPr>
      <t>T</t>
    </r>
  </si>
  <si>
    <r>
      <t>S</t>
    </r>
    <r>
      <rPr>
        <sz val="8"/>
        <color indexed="8"/>
        <rFont val="Arial"/>
        <family val="2"/>
      </rPr>
      <t xml:space="preserve"> Log x</t>
    </r>
  </si>
  <si>
    <t>(Log Xi-LogX̅)</t>
  </si>
  <si>
    <t>Tabel Perhitungan Metode Distribusi Log Person III</t>
  </si>
  <si>
    <t>(Log Xi-LogX̅)²</t>
  </si>
  <si>
    <t>(Log Xi-LogX̅)³</t>
  </si>
  <si>
    <t>Tabel Curah Hujan Rencana Metode Distribusi Log Person III</t>
  </si>
  <si>
    <t>LogX + KT  × S</t>
  </si>
  <si>
    <r>
      <t>(X</t>
    </r>
    <r>
      <rPr>
        <sz val="10"/>
        <color indexed="8"/>
        <rFont val="Arial"/>
        <family val="2"/>
      </rPr>
      <t>i</t>
    </r>
    <r>
      <rPr>
        <sz val="11"/>
        <color indexed="8"/>
        <rFont val="Arial"/>
        <family val="2"/>
      </rPr>
      <t xml:space="preserve"> - X̅)</t>
    </r>
  </si>
  <si>
    <t>Tabel Perhitungan Metode Distribusi Gumbel</t>
  </si>
  <si>
    <t>reduce mean</t>
  </si>
  <si>
    <r>
      <rPr>
        <i/>
        <sz val="11"/>
        <color indexed="8"/>
        <rFont val="Arial"/>
        <family val="2"/>
      </rPr>
      <t>reduce standar deviation</t>
    </r>
    <r>
      <rPr>
        <sz val="11"/>
        <color indexed="8"/>
        <rFont val="Arial"/>
        <family val="2"/>
      </rPr>
      <t xml:space="preserve"> </t>
    </r>
  </si>
  <si>
    <t>Rata-rata Curah Hujan</t>
  </si>
  <si>
    <t>n =</t>
  </si>
  <si>
    <t>R maks =</t>
  </si>
  <si>
    <t>(Yn) =</t>
  </si>
  <si>
    <t>(Sn) =</t>
  </si>
  <si>
    <t>Standar deviasi</t>
  </si>
  <si>
    <t>Sx =</t>
  </si>
  <si>
    <r>
      <t>Y</t>
    </r>
    <r>
      <rPr>
        <sz val="9"/>
        <color indexed="8"/>
        <rFont val="Arial"/>
        <family val="2"/>
      </rPr>
      <t>TR</t>
    </r>
  </si>
  <si>
    <t>Koef. Penyimpangan (CS)</t>
  </si>
  <si>
    <r>
      <t>Presentase peluang terlampaui (</t>
    </r>
    <r>
      <rPr>
        <i/>
        <sz val="11"/>
        <rFont val="Arial"/>
        <family val="2"/>
      </rPr>
      <t>Percent chance of being exceeded</t>
    </r>
    <r>
      <rPr>
        <sz val="11"/>
        <rFont val="Arial"/>
        <family val="2"/>
      </rPr>
      <t>)</t>
    </r>
  </si>
  <si>
    <r>
      <t>Interval kejadian (</t>
    </r>
    <r>
      <rPr>
        <i/>
        <sz val="11"/>
        <rFont val="Arial"/>
        <family val="2"/>
      </rPr>
      <t>Recurrence interval</t>
    </r>
    <r>
      <rPr>
        <sz val="11"/>
        <rFont val="Arial"/>
        <family val="2"/>
      </rPr>
      <t>), Tr tahun (Periode ulang)</t>
    </r>
  </si>
  <si>
    <t>Nilai KT Untuk Distribusi Log Person III</t>
  </si>
  <si>
    <t>Periode Ulang, Tr (tahun)</t>
  </si>
  <si>
    <t>Reduced variate, YTR</t>
  </si>
  <si>
    <t>Xτ</t>
  </si>
  <si>
    <t>Log Person III</t>
  </si>
  <si>
    <t>Tabel Uji Kecocokan Dengan Dispersi Statistik</t>
  </si>
  <si>
    <t>Hasil Dispersi Statistik</t>
  </si>
  <si>
    <t>Hasil Dispersi Logaritmik</t>
  </si>
  <si>
    <t>(Log Xi-LogX̅)⁴</t>
  </si>
  <si>
    <t>Distribusi Gumbel</t>
  </si>
  <si>
    <t>Ck ≈ 3,00</t>
  </si>
  <si>
    <t xml:space="preserve">Distribusi Log Person III </t>
  </si>
  <si>
    <t>Cs ≠ 0</t>
  </si>
  <si>
    <t>Selain dari nilai di atas</t>
  </si>
  <si>
    <t>Cs ~ 0</t>
  </si>
  <si>
    <t>ΔX</t>
  </si>
  <si>
    <t>Xmin - (0,5*ΔX)</t>
  </si>
  <si>
    <t>Cs ≈ 1,1396</t>
  </si>
  <si>
    <t>Ck ≈ 5,4002</t>
  </si>
  <si>
    <t>Ck = 3,147</t>
  </si>
  <si>
    <t>Cs = 0,2874</t>
  </si>
  <si>
    <t>Tabel Rekap Hasil Perhitungan Hujan Rencana Untuk Empat Metode yang Dipakai</t>
  </si>
  <si>
    <t>Tabel Perbandingan Parameter Paerhitungan Dispersi</t>
  </si>
  <si>
    <t>Tabel Hasil Perhitungan Parameter Dispersi Statistik dan Logaritmik</t>
  </si>
  <si>
    <t>Memenuhi</t>
  </si>
  <si>
    <t>Nilai K ≈</t>
  </si>
  <si>
    <t>Hitungan 1</t>
  </si>
  <si>
    <t>Tabel Perhitungan Uji Sebaran Chi Kuadrat</t>
  </si>
  <si>
    <t>Tabel Perhitungan Peringkat Peluang Periode Ulang T Tahun</t>
  </si>
  <si>
    <t>m</t>
  </si>
  <si>
    <t>RMax (mm) Urut</t>
  </si>
  <si>
    <t>P (X)</t>
  </si>
  <si>
    <t>( Ei-Oi )²</t>
  </si>
  <si>
    <t>( Ei-Oi )^²/Ei</t>
  </si>
  <si>
    <t>Tabel Perhitungan Uji Smirnov Kolmogorof</t>
  </si>
  <si>
    <t>Rmaks mm (Xi)</t>
  </si>
  <si>
    <t>P (X&lt;)</t>
  </si>
  <si>
    <t>k</t>
  </si>
  <si>
    <t>P' (X)</t>
  </si>
  <si>
    <t>P' (X&lt;)</t>
  </si>
  <si>
    <t xml:space="preserve">P (X) </t>
  </si>
  <si>
    <t>(%)</t>
  </si>
  <si>
    <t>Tabel 4. Reduksi standar deviasi (Yn) untuk distribusi gumbel</t>
  </si>
  <si>
    <t>Tabel 5. Reduksi standar deviasi (Sn) untuk distribusi gumbel</t>
  </si>
  <si>
    <t>G</t>
  </si>
  <si>
    <t>Tabel 9. Nilai kritis untuk distribusi Chi – Kuadrat</t>
  </si>
  <si>
    <t>Dk</t>
  </si>
  <si>
    <t>α Derajat Kepercayaan</t>
  </si>
  <si>
    <t>D</t>
  </si>
  <si>
    <t>Dmax</t>
  </si>
  <si>
    <t>Tabel 10. Nilai kritis Do Smirnov Kolmogorov</t>
  </si>
  <si>
    <t>0,20</t>
  </si>
  <si>
    <t>0,10</t>
  </si>
  <si>
    <t>0,01</t>
  </si>
  <si>
    <t>0,45</t>
  </si>
  <si>
    <t>0,51</t>
  </si>
  <si>
    <t>0,56</t>
  </si>
  <si>
    <t>0,67</t>
  </si>
  <si>
    <t>0,32</t>
  </si>
  <si>
    <t>0,37</t>
  </si>
  <si>
    <t>0,49</t>
  </si>
  <si>
    <t>0,27</t>
  </si>
  <si>
    <t>0,30</t>
  </si>
  <si>
    <t>0,34</t>
  </si>
  <si>
    <t>0,40</t>
  </si>
  <si>
    <t>0,23</t>
  </si>
  <si>
    <t>0,26</t>
  </si>
  <si>
    <t>0,29</t>
  </si>
  <si>
    <t>0,36</t>
  </si>
  <si>
    <t>0,21</t>
  </si>
  <si>
    <t>0,24</t>
  </si>
  <si>
    <t>0,19</t>
  </si>
  <si>
    <t>0,22</t>
  </si>
  <si>
    <t>0,18</t>
  </si>
  <si>
    <t>0,17</t>
  </si>
  <si>
    <t>0,25</t>
  </si>
  <si>
    <t>0,16</t>
  </si>
  <si>
    <t>0,15</t>
  </si>
  <si>
    <t>N &gt; 50</t>
  </si>
  <si>
    <t>Juamlah Data n</t>
  </si>
  <si>
    <t>DMax =</t>
  </si>
  <si>
    <t>α =</t>
  </si>
  <si>
    <t>m =</t>
  </si>
  <si>
    <t>Maka,</t>
  </si>
  <si>
    <t>Dmax  &lt;  Dₒ</t>
  </si>
  <si>
    <t>25 th</t>
  </si>
  <si>
    <t>Tabel Nilai variabel reduksi gauss (Normal &amp; Log Normal)</t>
  </si>
  <si>
    <t>Tabel Reduced variate, YTR sebagai fungsi periode ulang (Gauss)</t>
  </si>
  <si>
    <t>S =</t>
  </si>
  <si>
    <t>Cs =</t>
  </si>
  <si>
    <t>Nilai KT untuk distribusi log person III</t>
  </si>
  <si>
    <t>Tabel Uji Kecocokan Dengan Dispersi Logaritmik</t>
  </si>
  <si>
    <t>Tabel Intensitas Hujan Dengan Periode Ulang Tertentu</t>
  </si>
  <si>
    <t>Intensitas (I)</t>
  </si>
  <si>
    <t>5 tahun</t>
  </si>
  <si>
    <t>20 tahun</t>
  </si>
  <si>
    <t>25 tahun</t>
  </si>
  <si>
    <t>50 tahun</t>
  </si>
  <si>
    <t>100 tahun</t>
  </si>
  <si>
    <t>t</t>
  </si>
  <si>
    <t>mm/jam</t>
  </si>
  <si>
    <t>S Log x =</t>
  </si>
  <si>
    <t>Luas DAS (A)</t>
  </si>
  <si>
    <t>Panjang Sungai Utama (L)</t>
  </si>
  <si>
    <t>Kemiringan Sungai (S)</t>
  </si>
  <si>
    <t>Km²</t>
  </si>
  <si>
    <t>Km</t>
  </si>
  <si>
    <t>+</t>
  </si>
  <si>
    <t>x</t>
  </si>
  <si>
    <t>Jam</t>
  </si>
  <si>
    <t>Waktu kelambatan (tg) :</t>
  </si>
  <si>
    <t>Durasi Hujan (Tr) :</t>
  </si>
  <si>
    <t>Tr =</t>
  </si>
  <si>
    <t>tg</t>
  </si>
  <si>
    <t>Waktu Puncak (tp) :</t>
  </si>
  <si>
    <t>tg + (0.8 x Tr)</t>
  </si>
  <si>
    <t>L</t>
  </si>
  <si>
    <t>tg =</t>
  </si>
  <si>
    <t>Waktu Saat Debit Sama Dengan 0,3 kali Debit Puncak (t 0,3)</t>
  </si>
  <si>
    <t>Koefisien pembanding diambil α = 2, karena daerah pengalirannya biasa.</t>
  </si>
  <si>
    <t xml:space="preserve">t0,3 = </t>
  </si>
  <si>
    <t>α × tg</t>
  </si>
  <si>
    <t>Debit Puncak (Qp) :</t>
  </si>
  <si>
    <t>Koefisien pengaliraan (C)</t>
  </si>
  <si>
    <t>Qp =</t>
  </si>
  <si>
    <t>x (</t>
  </si>
  <si>
    <t>Selanjutnya untuk menentukan lengkung kurva naik dan kurva turun dapat menggunakan unit hidrograf dengan metode Satuan Sintetik Nakayasu sebagai berikut :</t>
  </si>
  <si>
    <t>(</t>
  </si>
  <si>
    <t>) ^</t>
  </si>
  <si>
    <t>Qt=</t>
  </si>
  <si>
    <t>Bagian kurva naik (0 &lt; t &lt; tp):</t>
  </si>
  <si>
    <t>(t)</t>
  </si>
  <si>
    <t>&lt; (</t>
  </si>
  <si>
    <t>)</t>
  </si>
  <si>
    <t>Ke atas</t>
  </si>
  <si>
    <t>0  &lt;</t>
  </si>
  <si>
    <t>m³/s</t>
  </si>
  <si>
    <t>Waktu</t>
  </si>
  <si>
    <t>Kurva Naik</t>
  </si>
  <si>
    <t>Kurva Turun</t>
  </si>
  <si>
    <t>Debit Unit Hidrograf Qt</t>
  </si>
  <si>
    <t>Ke Atas / Mulai</t>
  </si>
  <si>
    <t>C x A</t>
  </si>
  <si>
    <t>Hitung jumlah kelas (K)</t>
  </si>
  <si>
    <r>
      <t>Hasil Chi-Square Kritis (X²</t>
    </r>
    <r>
      <rPr>
        <sz val="9.35"/>
        <rFont val="Arial"/>
        <family val="2"/>
      </rPr>
      <t xml:space="preserve"> Cr</t>
    </r>
    <r>
      <rPr>
        <sz val="11"/>
        <rFont val="Arial"/>
        <family val="2"/>
      </rPr>
      <t>)</t>
    </r>
  </si>
  <si>
    <t xml:space="preserve">Syarat : </t>
  </si>
  <si>
    <t>Tabel (X² Cr)</t>
  </si>
  <si>
    <r>
      <t xml:space="preserve">Hasil Chi-Square Kritis (X² Cr) </t>
    </r>
    <r>
      <rPr>
        <b/>
        <i/>
        <sz val="11"/>
        <rFont val="Arial"/>
        <family val="2"/>
      </rPr>
      <t>&lt;</t>
    </r>
    <r>
      <rPr>
        <i/>
        <sz val="11"/>
        <rFont val="Arial"/>
        <family val="2"/>
      </rPr>
      <t xml:space="preserve"> Tabel (X² Cr)</t>
    </r>
  </si>
  <si>
    <t>Chi-Square Hitung (X²) :</t>
  </si>
  <si>
    <t>Tabel Zona Penggunaan Lahan DAS  Baubau</t>
  </si>
  <si>
    <t>Zona Penggunaan Lahan</t>
  </si>
  <si>
    <t>Luas Area (ha)</t>
  </si>
  <si>
    <t>Tabel Nilai koefisien limpasan</t>
  </si>
  <si>
    <t>Koefisien Limpasan©  C</t>
  </si>
  <si>
    <t xml:space="preserve"> Luasan Area (Ha)</t>
  </si>
  <si>
    <t>Hutan Sekunder</t>
  </si>
  <si>
    <t>Air danau/Situ</t>
  </si>
  <si>
    <t>Hutan Primer</t>
  </si>
  <si>
    <t>Air empang/Tambak</t>
  </si>
  <si>
    <t>Lahan Kosong/tidak terpelihara</t>
  </si>
  <si>
    <t>Semak belukar/Alang-alang</t>
  </si>
  <si>
    <t>Permukiman dan Tempat kegiatan</t>
  </si>
  <si>
    <t>Air tawar sungai</t>
  </si>
  <si>
    <t>Tegal/Huma</t>
  </si>
  <si>
    <t>Perkebunan</t>
  </si>
  <si>
    <t>Pertanian Lahan Kering/Ladang</t>
  </si>
  <si>
    <t>Sawah</t>
  </si>
  <si>
    <t>Budidaya Lainnya</t>
  </si>
  <si>
    <t>TOTAL</t>
  </si>
  <si>
    <t>Kondoatie dan Syarief, 2005</t>
  </si>
  <si>
    <r>
      <t xml:space="preserve">: JUMLAH CURAH HUJAN </t>
    </r>
    <r>
      <rPr>
        <b/>
        <i/>
        <sz val="11"/>
        <rFont val="Arial"/>
        <family val="2"/>
      </rPr>
      <t>(mm)</t>
    </r>
  </si>
  <si>
    <t>Rmax</t>
  </si>
  <si>
    <r>
      <rPr>
        <sz val="12"/>
        <rFont val="Arial"/>
        <family val="2"/>
      </rPr>
      <t>R</t>
    </r>
    <r>
      <rPr>
        <i/>
        <sz val="10"/>
        <rFont val="Arial"/>
        <family val="2"/>
      </rPr>
      <t>Total</t>
    </r>
  </si>
  <si>
    <t>Presentase</t>
  </si>
  <si>
    <t>Total</t>
  </si>
  <si>
    <t>Q</t>
  </si>
  <si>
    <t>%</t>
  </si>
  <si>
    <t>Agak Basah</t>
  </si>
  <si>
    <t>Tipe Iklim</t>
  </si>
  <si>
    <t>Nilai Q (%)</t>
  </si>
  <si>
    <t>Keadaan Iklim dan Vegetasi</t>
  </si>
  <si>
    <t>A</t>
  </si>
  <si>
    <t>&lt; 14,3</t>
  </si>
  <si>
    <t>Daerah sangat basah, hutan hujan tropika</t>
  </si>
  <si>
    <t>B</t>
  </si>
  <si>
    <t>Daerah basah, hutan hujan tropika</t>
  </si>
  <si>
    <t>C</t>
  </si>
  <si>
    <t>Daerah agak basah, hutan rimba, daun gugur pada musim kemarau</t>
  </si>
  <si>
    <t>Daerah sedang, hutan musim</t>
  </si>
  <si>
    <t>E</t>
  </si>
  <si>
    <t>Daerah agak kering, hutan sabana</t>
  </si>
  <si>
    <t>F</t>
  </si>
  <si>
    <t>Daerah kering, hutan sabana</t>
  </si>
  <si>
    <t>Daerah sangat kering, padang ilalang</t>
  </si>
  <si>
    <t>H</t>
  </si>
  <si>
    <t>&gt; 700,0</t>
  </si>
  <si>
    <t>Daerah ekstrim kering, padang ilalang</t>
  </si>
  <si>
    <t>Sifat</t>
  </si>
  <si>
    <t>Sangat Basah</t>
  </si>
  <si>
    <t>Basah</t>
  </si>
  <si>
    <t>Sedang</t>
  </si>
  <si>
    <t>Agak Kering</t>
  </si>
  <si>
    <t>Kering</t>
  </si>
  <si>
    <t>Sangat Kering</t>
  </si>
  <si>
    <t>Luar Biasa Kering</t>
  </si>
  <si>
    <t>14,3 - 33,3</t>
  </si>
  <si>
    <t>33,3 - 60,0</t>
  </si>
  <si>
    <t>60,0 - 100,0</t>
  </si>
  <si>
    <t>100,0 - 167,0</t>
  </si>
  <si>
    <t>167,0 - 300,0</t>
  </si>
  <si>
    <t>300,0 - 700,0</t>
  </si>
  <si>
    <t>0 &lt; t ≤ Tp</t>
  </si>
  <si>
    <t>t ≤ (Tp + T0.3)</t>
  </si>
  <si>
    <t>t ≤ Tp + T0,3 + 1,5.T0,3</t>
  </si>
  <si>
    <t>t ≥ Tp + T0,3 + 1,5.T0,3</t>
  </si>
  <si>
    <t>Xmaks</t>
  </si>
  <si>
    <t>Xmin</t>
  </si>
  <si>
    <t>Bagian kurva turun I : tp&lt;t&lt;tp&lt;t0.3 :</t>
  </si>
  <si>
    <t>Bagian kurva turun II :  tp+ t0,3 &lt; t &lt; tp + t0,3 + 1,5 t0,3</t>
  </si>
  <si>
    <t>Bagian kurva turun III :  t &gt; tp + t0.3 + 1.5 t0.3</t>
  </si>
  <si>
    <t>Qd1 =</t>
  </si>
  <si>
    <t>Qd2 =</t>
  </si>
  <si>
    <t>Qd3</t>
  </si>
  <si>
    <t>Qd1</t>
  </si>
  <si>
    <t>Qd2</t>
  </si>
  <si>
    <t>Tinggi Hujan Satun (R)</t>
  </si>
  <si>
    <t xml:space="preserve">Durasi Hujan Satuan (Tr) </t>
  </si>
  <si>
    <t>mm</t>
  </si>
  <si>
    <t>Waktu/Jam</t>
  </si>
  <si>
    <t>Distribusi Curah Hujan Tiap Jamnya</t>
  </si>
  <si>
    <t>a. Perhitungan rata-rata hujan sampai jam ke-T</t>
  </si>
  <si>
    <t>/</t>
  </si>
  <si>
    <t xml:space="preserve">RT = (R24/6).(6/1)2/3 </t>
  </si>
  <si>
    <t>^ (</t>
  </si>
  <si>
    <t>Skripsi_ Analisa debit banjir sungai (Hal.68)</t>
  </si>
  <si>
    <t>Jam Ke - 1</t>
  </si>
  <si>
    <t>Jam Ke - 2</t>
  </si>
  <si>
    <t>Jam Ke - 3</t>
  </si>
  <si>
    <t>Jam Ke - 4</t>
  </si>
  <si>
    <t>Jam Ke - 5</t>
  </si>
  <si>
    <t>Jam Ke - 6</t>
  </si>
  <si>
    <t>Tabel Intensitas Curah Hujan dan Hujan Efektif DAS Baubau</t>
  </si>
  <si>
    <t>Hujan Efektif jam ke -</t>
  </si>
  <si>
    <t>Design Rainfall (mm/ jam)</t>
  </si>
  <si>
    <t>Limpasan Langsung (m³/s)</t>
  </si>
  <si>
    <t>Bs</t>
  </si>
  <si>
    <t>Qtotal</t>
  </si>
  <si>
    <t>Base Flow (QB) = 0.5 . Qp</t>
  </si>
  <si>
    <t>Curah Hujan (mm)</t>
  </si>
  <si>
    <t>55%. R24</t>
  </si>
  <si>
    <t>15%. R24</t>
  </si>
  <si>
    <t>11%. R24</t>
  </si>
  <si>
    <t>7%. R24</t>
  </si>
  <si>
    <t>5%. R24</t>
  </si>
  <si>
    <t>Tabel Debit banjir rancangan sungai baubau menurut periode kala ulang</t>
  </si>
  <si>
    <t>Grand Total Debit (m³/s) Periode Ulang</t>
  </si>
  <si>
    <t>Tp=</t>
  </si>
  <si>
    <t>0,8</t>
  </si>
  <si>
    <t>Lengkung Turun (Qd)</t>
  </si>
  <si>
    <t>Lengkung Naik (Qp)</t>
  </si>
  <si>
    <t>Qp=</t>
  </si>
  <si>
    <t>Qd1=</t>
  </si>
  <si>
    <t>Qd2=</t>
  </si>
  <si>
    <t>Qd3=</t>
  </si>
  <si>
    <t>Tahun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</si>
  <si>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</si>
  <si>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</si>
  <si>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</si>
  <si>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</si>
  <si>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</si>
  <si>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</si>
  <si>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</si>
  <si>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</si>
  <si>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</si>
  <si>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</si>
  <si>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</si>
  <si>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</si>
  <si>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MAX</t>
  </si>
  <si>
    <t>Presentase (%)</t>
  </si>
  <si>
    <t>2 Th</t>
  </si>
  <si>
    <t>5 Th</t>
  </si>
  <si>
    <t>10 Th</t>
  </si>
  <si>
    <t>20 Th</t>
  </si>
  <si>
    <t>25 Th</t>
  </si>
  <si>
    <t>50 Th</t>
  </si>
  <si>
    <t>100 Th</t>
  </si>
  <si>
    <t>T</t>
  </si>
  <si>
    <r>
      <rPr>
        <sz val="10"/>
        <rFont val="Arial"/>
        <family val="2"/>
      </rPr>
      <t>Q</t>
    </r>
    <r>
      <rPr>
        <sz val="11"/>
        <rFont val="Arial"/>
        <family val="2"/>
      </rPr>
      <t>=</t>
    </r>
  </si>
  <si>
    <r>
      <t>Rmaks mm (</t>
    </r>
    <r>
      <rPr>
        <i/>
        <sz val="11"/>
        <rFont val="Arial"/>
        <family val="2"/>
      </rPr>
      <t>Xi</t>
    </r>
    <r>
      <rPr>
        <sz val="11"/>
        <rFont val="Arial"/>
        <family val="2"/>
      </rPr>
      <t>)</t>
    </r>
  </si>
  <si>
    <t>(Xi - X̅)</t>
  </si>
  <si>
    <t>Log Xi</t>
  </si>
  <si>
    <t>1. Pilih Distribusi yg memnuhi Syarat</t>
  </si>
  <si>
    <t>2. Nilai R = 2 Untuk Metode Log Peron III &amp; Log Normal. Nilai R = 1 untuk Distribusi Normal Gumbel</t>
  </si>
  <si>
    <r>
      <t>D</t>
    </r>
    <r>
      <rPr>
        <sz val="16"/>
        <rFont val="Arial"/>
        <family val="2"/>
      </rPr>
      <t>ₒ</t>
    </r>
    <r>
      <rPr>
        <sz val="11"/>
        <rFont val="Arial"/>
        <family val="2"/>
      </rPr>
      <t xml:space="preserve"> =</t>
    </r>
  </si>
  <si>
    <r>
      <rPr>
        <b/>
        <sz val="11"/>
        <rFont val="Arial"/>
        <family val="2"/>
      </rPr>
      <t>R24</t>
    </r>
    <r>
      <rPr>
        <sz val="11"/>
        <rFont val="Arial"/>
        <family val="2"/>
      </rPr>
      <t xml:space="preserve"> (mm)</t>
    </r>
  </si>
  <si>
    <r>
      <t xml:space="preserve">( </t>
    </r>
    <r>
      <rPr>
        <b/>
        <sz val="12"/>
        <rFont val="Arial"/>
        <family val="2"/>
      </rPr>
      <t>α</t>
    </r>
    <r>
      <rPr>
        <sz val="12"/>
        <rFont val="Arial"/>
        <family val="2"/>
      </rPr>
      <t xml:space="preserve"> Deerajat Kepercayaan )</t>
    </r>
  </si>
  <si>
    <r>
      <t>Koef. Penyimpangan</t>
    </r>
    <r>
      <rPr>
        <b/>
        <sz val="12"/>
        <rFont val="Arial"/>
        <family val="2"/>
      </rPr>
      <t xml:space="preserve"> (CS)</t>
    </r>
  </si>
  <si>
    <r>
      <t>Presentase peluang terlampaui (</t>
    </r>
    <r>
      <rPr>
        <i/>
        <sz val="12"/>
        <rFont val="Arial"/>
        <family val="2"/>
      </rPr>
      <t>Percent chance of being exceeded</t>
    </r>
    <r>
      <rPr>
        <sz val="12"/>
        <rFont val="Arial"/>
        <family val="2"/>
      </rPr>
      <t>)</t>
    </r>
  </si>
  <si>
    <r>
      <t>Interval kejadian (</t>
    </r>
    <r>
      <rPr>
        <i/>
        <sz val="12"/>
        <rFont val="Arial"/>
        <family val="2"/>
      </rPr>
      <t>Recurrence interval</t>
    </r>
    <r>
      <rPr>
        <sz val="12"/>
        <rFont val="Arial"/>
        <family val="2"/>
      </rPr>
      <t>), Tr tahun (Periode ulang)</t>
    </r>
  </si>
</sst>
</file>

<file path=xl/styles.xml><?xml version="1.0" encoding="utf-8"?>
<styleSheet xmlns="http://schemas.openxmlformats.org/spreadsheetml/2006/main">
  <numFmts count="6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0.0000"/>
    <numFmt numFmtId="167" formatCode="0.000"/>
    <numFmt numFmtId="168" formatCode="0.0%"/>
    <numFmt numFmtId="169" formatCode="0.00000"/>
    <numFmt numFmtId="170" formatCode="_-* #.##0.0_-;\-* #.##0.0_-;_-* &quot;-&quot;_-;_-@_-"/>
    <numFmt numFmtId="171" formatCode="_-* #.##0.00_-;\-* #.##0.00_-;_-* &quot;-&quot;_-;_-@_-"/>
    <numFmt numFmtId="172" formatCode="0.000000"/>
    <numFmt numFmtId="173" formatCode="\-#\,###"/>
    <numFmt numFmtId="174" formatCode="0;[Red]0"/>
    <numFmt numFmtId="175" formatCode="0.000;[Red]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.##0._-;\-* #.##0._-;_-* &quot;-&quot;_-;_-@_-"/>
    <numFmt numFmtId="181" formatCode="_-* #.##._-;\-* #.##._-;_-* &quot;-&quot;_-;_-@_ⴆ"/>
    <numFmt numFmtId="182" formatCode="_-* #.#._-;\-* #.#._-;_-* &quot;-&quot;_-;_-@_ⴆ"/>
    <numFmt numFmtId="183" formatCode="_-* #.;\-* #.;_-* &quot;-&quot;_-;_-@_ⴆ"/>
    <numFmt numFmtId="184" formatCode="[$-421]dddd\,\ dd\ mmmm\ yyyy"/>
    <numFmt numFmtId="185" formatCode="hh\.mm\.ss"/>
    <numFmt numFmtId="186" formatCode="#.##0"/>
    <numFmt numFmtId="187" formatCode="m\.ss"/>
    <numFmt numFmtId="188" formatCode="#.##0.0"/>
    <numFmt numFmtId="189" formatCode="#.##0."/>
    <numFmt numFmtId="190" formatCode="#.##"/>
    <numFmt numFmtId="191" formatCode="#.#"/>
    <numFmt numFmtId="192" formatCode="#"/>
    <numFmt numFmtId="193" formatCode="#.##0.000000000000000000"/>
    <numFmt numFmtId="194" formatCode="0.00000000"/>
    <numFmt numFmtId="195" formatCode="0.0000000"/>
    <numFmt numFmtId="196" formatCode="0.000E+00"/>
    <numFmt numFmtId="197" formatCode="0.0000E+00"/>
    <numFmt numFmtId="198" formatCode="_-* #.##00._-;\-* #.##00._-;_-* &quot;-&quot;_-;_-@_-"/>
    <numFmt numFmtId="199" formatCode="_-* #.##000._-;\-* #.##000._-;_-* &quot;-&quot;_-;_-@_-"/>
    <numFmt numFmtId="200" formatCode="_-* #.##0000._-;\-* #.##0000._-;_-* &quot;-&quot;_-;_-@_-"/>
    <numFmt numFmtId="201" formatCode="0.0E+00"/>
    <numFmt numFmtId="202" formatCode="_-* #.##0.000_-;\-* #.##0.000_-;_-* &quot;-&quot;_-;_-@_-"/>
    <numFmt numFmtId="203" formatCode="0.0000000000000000"/>
    <numFmt numFmtId="204" formatCode="0.000000000000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_-&quot;Rp&quot;* #.##0_-;\-&quot;Rp&quot;* #.##0_-;_-&quot;Rp&quot;* &quot;-&quot;_-;_-@_-"/>
    <numFmt numFmtId="212" formatCode="_-* #,##0.0_-;\-* #,##0.0_-;_-* &quot;-&quot;_-;_-@_-"/>
    <numFmt numFmtId="213" formatCode="_-* #,##0.00_-;\-* #,##0.00_-;_-* &quot;-&quot;_-;_-@_-"/>
    <numFmt numFmtId="214" formatCode="_-* #,##0.000_-;\-* #,##0.000_-;_-* &quot;-&quot;_-;_-@_-"/>
    <numFmt numFmtId="215" formatCode="_-* #,##0.0000_-;\-* #,##0.0000_-;_-* &quot;-&quot;_-;_-@_-"/>
    <numFmt numFmtId="216" formatCode="#,##0.0"/>
    <numFmt numFmtId="217" formatCode="#,##0.000"/>
    <numFmt numFmtId="218" formatCode="#,##0.0000"/>
    <numFmt numFmtId="219" formatCode="0.0;[Red]0.0"/>
    <numFmt numFmtId="220" formatCode="0.00;[Red]0.00"/>
    <numFmt numFmtId="221" formatCode="0.0000;[Red]0.0000"/>
    <numFmt numFmtId="222" formatCode="0.0\ %"/>
    <numFmt numFmtId="223" formatCode="##,##0_ ;[Red]\-#,###\ 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.35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color indexed="63"/>
      <name val="Calibri"/>
      <family val="2"/>
    </font>
    <font>
      <b/>
      <sz val="10.5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Arial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.5"/>
      <color indexed="8"/>
      <name val="Adobe Arabic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sz val="12"/>
      <color indexed="8"/>
      <name val="Bodoni MT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5" tint="-0.2499700039625167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39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>
        <color rgb="FF7F7F7F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84">
    <xf numFmtId="0" fontId="0" fillId="0" borderId="0" xfId="0" applyFont="1" applyAlignment="1">
      <alignment/>
    </xf>
    <xf numFmtId="0" fontId="90" fillId="0" borderId="0" xfId="0" applyFont="1" applyAlignment="1">
      <alignment horizontal="left" vertical="center"/>
    </xf>
    <xf numFmtId="167" fontId="90" fillId="0" borderId="0" xfId="0" applyNumberFormat="1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166" fontId="90" fillId="0" borderId="0" xfId="0" applyNumberFormat="1" applyFont="1" applyAlignment="1">
      <alignment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90" fillId="0" borderId="0" xfId="0" applyFont="1" applyAlignment="1">
      <alignment horizontal="center" vertical="center"/>
    </xf>
    <xf numFmtId="167" fontId="90" fillId="0" borderId="0" xfId="0" applyNumberFormat="1" applyFont="1" applyAlignment="1">
      <alignment horizontal="center" vertical="center"/>
    </xf>
    <xf numFmtId="0" fontId="90" fillId="0" borderId="0" xfId="0" applyFont="1" applyAlignment="1">
      <alignment/>
    </xf>
    <xf numFmtId="0" fontId="90" fillId="0" borderId="12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3" fontId="90" fillId="0" borderId="0" xfId="0" applyNumberFormat="1" applyFont="1" applyAlignment="1">
      <alignment/>
    </xf>
    <xf numFmtId="41" fontId="90" fillId="0" borderId="0" xfId="43" applyFont="1" applyAlignment="1">
      <alignment/>
    </xf>
    <xf numFmtId="170" fontId="90" fillId="0" borderId="0" xfId="43" applyNumberFormat="1" applyFont="1" applyAlignment="1">
      <alignment/>
    </xf>
    <xf numFmtId="171" fontId="90" fillId="0" borderId="0" xfId="43" applyNumberFormat="1" applyFont="1" applyAlignment="1">
      <alignment/>
    </xf>
    <xf numFmtId="1" fontId="90" fillId="0" borderId="0" xfId="43" applyNumberFormat="1" applyFont="1" applyAlignment="1">
      <alignment/>
    </xf>
    <xf numFmtId="172" fontId="90" fillId="0" borderId="0" xfId="0" applyNumberFormat="1" applyFont="1" applyAlignment="1">
      <alignment/>
    </xf>
    <xf numFmtId="41" fontId="90" fillId="0" borderId="0" xfId="43" applyFont="1" applyAlignment="1">
      <alignment horizontal="center"/>
    </xf>
    <xf numFmtId="3" fontId="90" fillId="0" borderId="0" xfId="0" applyNumberFormat="1" applyFont="1" applyAlignment="1">
      <alignment/>
    </xf>
    <xf numFmtId="0" fontId="90" fillId="0" borderId="13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/>
    </xf>
    <xf numFmtId="167" fontId="90" fillId="0" borderId="13" xfId="0" applyNumberFormat="1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2" fontId="90" fillId="0" borderId="14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167" fontId="90" fillId="0" borderId="0" xfId="0" applyNumberFormat="1" applyFont="1" applyBorder="1" applyAlignment="1">
      <alignment horizontal="center" vertical="center"/>
    </xf>
    <xf numFmtId="2" fontId="90" fillId="0" borderId="12" xfId="0" applyNumberFormat="1" applyFont="1" applyBorder="1" applyAlignment="1">
      <alignment horizontal="center" vertical="center"/>
    </xf>
    <xf numFmtId="167" fontId="90" fillId="0" borderId="12" xfId="0" applyNumberFormat="1" applyFont="1" applyBorder="1" applyAlignment="1">
      <alignment horizontal="center" vertical="center"/>
    </xf>
    <xf numFmtId="167" fontId="90" fillId="0" borderId="0" xfId="43" applyNumberFormat="1" applyFont="1" applyBorder="1" applyAlignment="1">
      <alignment horizontal="center" vertical="center"/>
    </xf>
    <xf numFmtId="167" fontId="90" fillId="0" borderId="0" xfId="43" applyNumberFormat="1" applyFont="1" applyAlignment="1">
      <alignment/>
    </xf>
    <xf numFmtId="169" fontId="90" fillId="0" borderId="0" xfId="43" applyNumberFormat="1" applyFont="1" applyAlignment="1">
      <alignment horizontal="center"/>
    </xf>
    <xf numFmtId="172" fontId="90" fillId="0" borderId="0" xfId="43" applyNumberFormat="1" applyFont="1" applyAlignment="1">
      <alignment/>
    </xf>
    <xf numFmtId="166" fontId="90" fillId="0" borderId="0" xfId="0" applyNumberFormat="1" applyFont="1" applyBorder="1" applyAlignment="1">
      <alignment horizontal="center" vertical="center"/>
    </xf>
    <xf numFmtId="166" fontId="90" fillId="0" borderId="13" xfId="0" applyNumberFormat="1" applyFont="1" applyBorder="1" applyAlignment="1">
      <alignment horizontal="center" vertical="center"/>
    </xf>
    <xf numFmtId="166" fontId="90" fillId="0" borderId="14" xfId="0" applyNumberFormat="1" applyFont="1" applyBorder="1" applyAlignment="1">
      <alignment horizontal="center" vertical="center"/>
    </xf>
    <xf numFmtId="166" fontId="90" fillId="0" borderId="12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/>
    </xf>
    <xf numFmtId="166" fontId="90" fillId="0" borderId="0" xfId="0" applyNumberFormat="1" applyFont="1" applyBorder="1" applyAlignment="1">
      <alignment/>
    </xf>
    <xf numFmtId="166" fontId="9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7" fontId="90" fillId="0" borderId="0" xfId="0" applyNumberFormat="1" applyFont="1" applyBorder="1" applyAlignment="1">
      <alignment horizontal="center"/>
    </xf>
    <xf numFmtId="166" fontId="90" fillId="0" borderId="0" xfId="0" applyNumberFormat="1" applyFont="1" applyBorder="1" applyAlignment="1">
      <alignment horizontal="center"/>
    </xf>
    <xf numFmtId="166" fontId="90" fillId="0" borderId="12" xfId="0" applyNumberFormat="1" applyFont="1" applyBorder="1" applyAlignment="1">
      <alignment horizontal="center"/>
    </xf>
    <xf numFmtId="167" fontId="90" fillId="0" borderId="12" xfId="0" applyNumberFormat="1" applyFont="1" applyBorder="1" applyAlignment="1">
      <alignment horizontal="center"/>
    </xf>
    <xf numFmtId="0" fontId="92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0" fillId="0" borderId="0" xfId="0" applyFont="1" applyAlignment="1">
      <alignment horizontal="right" vertical="center"/>
    </xf>
    <xf numFmtId="0" fontId="90" fillId="0" borderId="12" xfId="0" applyFont="1" applyBorder="1" applyAlignment="1">
      <alignment horizontal="center" vertical="center"/>
    </xf>
    <xf numFmtId="0" fontId="10" fillId="0" borderId="0" xfId="59" applyFont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 vertical="center"/>
      <protection/>
    </xf>
    <xf numFmtId="1" fontId="11" fillId="0" borderId="0" xfId="43" applyNumberFormat="1" applyFont="1" applyAlignment="1">
      <alignment horizontal="center" vertical="center"/>
    </xf>
    <xf numFmtId="167" fontId="11" fillId="0" borderId="0" xfId="59" applyNumberFormat="1" applyFont="1" applyAlignment="1">
      <alignment horizontal="center" vertical="center"/>
      <protection/>
    </xf>
    <xf numFmtId="167" fontId="11" fillId="0" borderId="0" xfId="59" applyNumberFormat="1" applyFont="1" applyAlignment="1">
      <alignment horizontal="center"/>
      <protection/>
    </xf>
    <xf numFmtId="167" fontId="11" fillId="0" borderId="0" xfId="59" applyNumberFormat="1" applyFont="1">
      <alignment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center"/>
      <protection/>
    </xf>
    <xf numFmtId="3" fontId="11" fillId="0" borderId="0" xfId="59" applyNumberFormat="1" applyFont="1" applyAlignment="1">
      <alignment horizontal="center"/>
      <protection/>
    </xf>
    <xf numFmtId="41" fontId="11" fillId="0" borderId="0" xfId="43" applyFont="1" applyAlignment="1">
      <alignment horizontal="center" vertical="center"/>
    </xf>
    <xf numFmtId="0" fontId="11" fillId="0" borderId="15" xfId="59" applyFont="1" applyBorder="1">
      <alignment/>
      <protection/>
    </xf>
    <xf numFmtId="0" fontId="11" fillId="0" borderId="11" xfId="59" applyFont="1" applyBorder="1">
      <alignment/>
      <protection/>
    </xf>
    <xf numFmtId="0" fontId="11" fillId="0" borderId="16" xfId="59" applyFont="1" applyBorder="1">
      <alignment/>
      <protection/>
    </xf>
    <xf numFmtId="0" fontId="11" fillId="0" borderId="17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19" xfId="59" applyFont="1" applyBorder="1" applyAlignment="1">
      <alignment horizontal="center"/>
      <protection/>
    </xf>
    <xf numFmtId="0" fontId="11" fillId="0" borderId="19" xfId="59" applyFont="1" applyBorder="1">
      <alignment/>
      <protection/>
    </xf>
    <xf numFmtId="0" fontId="11" fillId="0" borderId="20" xfId="59" applyFont="1" applyBorder="1" applyAlignment="1">
      <alignment horizontal="center"/>
      <protection/>
    </xf>
    <xf numFmtId="165" fontId="11" fillId="0" borderId="19" xfId="59" applyNumberFormat="1" applyFont="1" applyBorder="1" applyAlignment="1">
      <alignment horizontal="center"/>
      <protection/>
    </xf>
    <xf numFmtId="165" fontId="11" fillId="0" borderId="10" xfId="59" applyNumberFormat="1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5" xfId="59" applyFont="1" applyBorder="1" applyAlignment="1">
      <alignment horizontal="center"/>
      <protection/>
    </xf>
    <xf numFmtId="166" fontId="11" fillId="0" borderId="10" xfId="59" applyNumberFormat="1" applyFont="1" applyFill="1" applyBorder="1">
      <alignment/>
      <protection/>
    </xf>
    <xf numFmtId="166" fontId="11" fillId="0" borderId="0" xfId="0" applyNumberFormat="1" applyFont="1" applyBorder="1" applyAlignment="1">
      <alignment vertical="center"/>
    </xf>
    <xf numFmtId="166" fontId="11" fillId="33" borderId="10" xfId="59" applyNumberFormat="1" applyFont="1" applyFill="1" applyBorder="1">
      <alignment/>
      <protection/>
    </xf>
    <xf numFmtId="166" fontId="11" fillId="0" borderId="10" xfId="59" applyNumberFormat="1" applyFont="1" applyBorder="1">
      <alignment/>
      <protection/>
    </xf>
    <xf numFmtId="166" fontId="11" fillId="0" borderId="11" xfId="59" applyNumberFormat="1" applyFont="1" applyBorder="1">
      <alignment/>
      <protection/>
    </xf>
    <xf numFmtId="0" fontId="11" fillId="0" borderId="21" xfId="59" applyFont="1" applyBorder="1" applyAlignment="1">
      <alignment/>
      <protection/>
    </xf>
    <xf numFmtId="0" fontId="11" fillId="0" borderId="0" xfId="59" applyFont="1" applyAlignment="1">
      <alignment/>
      <protection/>
    </xf>
    <xf numFmtId="166" fontId="11" fillId="6" borderId="11" xfId="59" applyNumberFormat="1" applyFont="1" applyFill="1" applyBorder="1">
      <alignment/>
      <protection/>
    </xf>
    <xf numFmtId="0" fontId="11" fillId="0" borderId="0" xfId="0" applyFont="1" applyBorder="1" applyAlignment="1">
      <alignment vertical="center"/>
    </xf>
    <xf numFmtId="166" fontId="11" fillId="0" borderId="19" xfId="59" applyNumberFormat="1" applyFont="1" applyBorder="1">
      <alignment/>
      <protection/>
    </xf>
    <xf numFmtId="0" fontId="12" fillId="0" borderId="15" xfId="59" applyFont="1" applyBorder="1" applyAlignment="1">
      <alignment horizontal="center"/>
      <protection/>
    </xf>
    <xf numFmtId="166" fontId="11" fillId="0" borderId="15" xfId="59" applyNumberFormat="1" applyFont="1" applyBorder="1">
      <alignment/>
      <protection/>
    </xf>
    <xf numFmtId="0" fontId="11" fillId="0" borderId="19" xfId="59" applyFont="1" applyBorder="1" applyAlignment="1">
      <alignment horizontal="left"/>
      <protection/>
    </xf>
    <xf numFmtId="1" fontId="11" fillId="0" borderId="19" xfId="59" applyNumberFormat="1" applyFont="1" applyBorder="1" applyAlignment="1">
      <alignment horizontal="center"/>
      <protection/>
    </xf>
    <xf numFmtId="1" fontId="11" fillId="0" borderId="10" xfId="59" applyNumberFormat="1" applyFont="1" applyBorder="1" applyAlignment="1">
      <alignment horizontal="center"/>
      <protection/>
    </xf>
    <xf numFmtId="1" fontId="11" fillId="0" borderId="11" xfId="59" applyNumberFormat="1" applyFont="1" applyBorder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right"/>
      <protection/>
    </xf>
    <xf numFmtId="0" fontId="11" fillId="0" borderId="20" xfId="59" applyFont="1" applyBorder="1">
      <alignment/>
      <protection/>
    </xf>
    <xf numFmtId="3" fontId="11" fillId="0" borderId="0" xfId="59" applyNumberFormat="1" applyFont="1" applyAlignment="1">
      <alignment horizontal="center" vertical="center"/>
      <protection/>
    </xf>
    <xf numFmtId="0" fontId="11" fillId="0" borderId="16" xfId="59" applyFont="1" applyBorder="1" applyAlignment="1">
      <alignment horizontal="center"/>
      <protection/>
    </xf>
    <xf numFmtId="2" fontId="11" fillId="0" borderId="0" xfId="59" applyNumberFormat="1" applyFont="1" applyAlignment="1">
      <alignment horizontal="center" vertical="center"/>
      <protection/>
    </xf>
    <xf numFmtId="0" fontId="11" fillId="0" borderId="21" xfId="59" applyFont="1" applyBorder="1" applyAlignment="1">
      <alignment horizontal="center"/>
      <protection/>
    </xf>
    <xf numFmtId="2" fontId="11" fillId="0" borderId="0" xfId="59" applyNumberFormat="1" applyFont="1">
      <alignment/>
      <protection/>
    </xf>
    <xf numFmtId="165" fontId="3" fillId="0" borderId="0" xfId="59" applyNumberFormat="1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 vertical="center"/>
      <protection/>
    </xf>
    <xf numFmtId="173" fontId="3" fillId="0" borderId="0" xfId="59" applyNumberFormat="1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166" fontId="3" fillId="0" borderId="0" xfId="59" applyNumberFormat="1" applyFont="1" applyBorder="1" applyAlignment="1">
      <alignment horizontal="center" vertical="center"/>
      <protection/>
    </xf>
    <xf numFmtId="167" fontId="3" fillId="0" borderId="0" xfId="59" applyNumberFormat="1" applyFont="1" applyBorder="1" applyAlignment="1">
      <alignment horizontal="center" vertical="center"/>
      <protection/>
    </xf>
    <xf numFmtId="3" fontId="3" fillId="0" borderId="0" xfId="59" applyNumberFormat="1" applyFont="1" applyBorder="1" applyAlignment="1">
      <alignment horizontal="center" vertical="center"/>
      <protection/>
    </xf>
    <xf numFmtId="167" fontId="3" fillId="8" borderId="0" xfId="59" applyNumberFormat="1" applyFont="1" applyFill="1" applyBorder="1" applyAlignment="1">
      <alignment horizontal="center" vertical="center"/>
      <protection/>
    </xf>
    <xf numFmtId="175" fontId="90" fillId="0" borderId="0" xfId="0" applyNumberFormat="1" applyFont="1" applyBorder="1" applyAlignment="1">
      <alignment horizontal="center" vertical="center"/>
    </xf>
    <xf numFmtId="175" fontId="90" fillId="0" borderId="12" xfId="0" applyNumberFormat="1" applyFont="1" applyBorder="1" applyAlignment="1">
      <alignment horizontal="center" vertical="center"/>
    </xf>
    <xf numFmtId="3" fontId="90" fillId="0" borderId="0" xfId="0" applyNumberFormat="1" applyFont="1" applyAlignment="1">
      <alignment horizontal="center" vertical="center"/>
    </xf>
    <xf numFmtId="167" fontId="90" fillId="0" borderId="22" xfId="0" applyNumberFormat="1" applyFont="1" applyBorder="1" applyAlignment="1">
      <alignment horizontal="center" vertical="center"/>
    </xf>
    <xf numFmtId="167" fontId="90" fillId="0" borderId="17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13" xfId="0" applyFont="1" applyBorder="1" applyAlignment="1">
      <alignment vertical="center"/>
    </xf>
    <xf numFmtId="2" fontId="90" fillId="0" borderId="22" xfId="0" applyNumberFormat="1" applyFont="1" applyBorder="1" applyAlignment="1">
      <alignment horizontal="center" vertical="center"/>
    </xf>
    <xf numFmtId="2" fontId="90" fillId="0" borderId="1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0" xfId="59" applyFont="1" applyAlignment="1">
      <alignment/>
      <protection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7" fontId="3" fillId="0" borderId="0" xfId="44" applyNumberFormat="1" applyFont="1" applyFill="1" applyBorder="1" applyAlignment="1">
      <alignment horizontal="center" vertical="center"/>
    </xf>
    <xf numFmtId="167" fontId="3" fillId="0" borderId="0" xfId="4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0" borderId="16" xfId="0" applyNumberFormat="1" applyFont="1" applyFill="1" applyBorder="1" applyAlignment="1">
      <alignment horizontal="center" vertical="center"/>
    </xf>
    <xf numFmtId="167" fontId="3" fillId="0" borderId="20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6" fontId="90" fillId="0" borderId="0" xfId="0" applyNumberFormat="1" applyFont="1" applyBorder="1" applyAlignment="1">
      <alignment horizontal="center" vertical="center"/>
    </xf>
    <xf numFmtId="166" fontId="90" fillId="0" borderId="12" xfId="0" applyNumberFormat="1" applyFont="1" applyBorder="1" applyAlignment="1">
      <alignment horizontal="center" vertical="center"/>
    </xf>
    <xf numFmtId="2" fontId="90" fillId="0" borderId="0" xfId="0" applyNumberFormat="1" applyFont="1" applyAlignment="1">
      <alignment horizontal="center" vertical="center"/>
    </xf>
    <xf numFmtId="0" fontId="11" fillId="0" borderId="0" xfId="59" applyFont="1" applyBorder="1">
      <alignment/>
      <protection/>
    </xf>
    <xf numFmtId="0" fontId="10" fillId="0" borderId="12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90" fillId="0" borderId="0" xfId="0" applyFont="1" applyAlignment="1">
      <alignment horizontal="right"/>
    </xf>
    <xf numFmtId="0" fontId="9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 horizontal="right"/>
      <protection/>
    </xf>
    <xf numFmtId="0" fontId="10" fillId="0" borderId="0" xfId="59" applyFont="1" applyAlignment="1">
      <alignment vertical="center" wrapText="1"/>
      <protection/>
    </xf>
    <xf numFmtId="0" fontId="10" fillId="0" borderId="0" xfId="59" applyFont="1" applyAlignment="1">
      <alignment vertical="center"/>
      <protection/>
    </xf>
    <xf numFmtId="0" fontId="90" fillId="0" borderId="0" xfId="0" applyFont="1" applyAlignment="1">
      <alignment horizontal="center" vertical="center"/>
    </xf>
    <xf numFmtId="214" fontId="11" fillId="8" borderId="0" xfId="43" applyNumberFormat="1" applyFont="1" applyFill="1" applyAlignment="1">
      <alignment horizontal="center" vertical="center"/>
    </xf>
    <xf numFmtId="167" fontId="3" fillId="0" borderId="0" xfId="43" applyNumberFormat="1" applyFont="1" applyFill="1" applyBorder="1" applyAlignment="1">
      <alignment horizontal="center" vertical="center"/>
    </xf>
    <xf numFmtId="1" fontId="3" fillId="0" borderId="0" xfId="59" applyNumberFormat="1" applyFont="1" applyFill="1" applyBorder="1" applyAlignment="1">
      <alignment horizontal="center" vertical="center"/>
      <protection/>
    </xf>
    <xf numFmtId="1" fontId="3" fillId="0" borderId="14" xfId="43" applyNumberFormat="1" applyFont="1" applyBorder="1" applyAlignment="1">
      <alignment horizontal="center" vertical="center"/>
    </xf>
    <xf numFmtId="1" fontId="3" fillId="0" borderId="0" xfId="59" applyNumberFormat="1" applyFont="1" applyBorder="1" applyAlignment="1">
      <alignment horizontal="center" vertical="center"/>
      <protection/>
    </xf>
    <xf numFmtId="1" fontId="3" fillId="0" borderId="12" xfId="59" applyNumberFormat="1" applyFont="1" applyBorder="1" applyAlignment="1">
      <alignment horizontal="center" vertical="center"/>
      <protection/>
    </xf>
    <xf numFmtId="165" fontId="3" fillId="8" borderId="0" xfId="59" applyNumberFormat="1" applyFont="1" applyFill="1" applyBorder="1" applyAlignment="1">
      <alignment horizontal="center" vertical="center"/>
      <protection/>
    </xf>
    <xf numFmtId="165" fontId="3" fillId="0" borderId="12" xfId="59" applyNumberFormat="1" applyFont="1" applyBorder="1" applyAlignment="1">
      <alignment horizontal="center" vertical="center"/>
      <protection/>
    </xf>
    <xf numFmtId="1" fontId="3" fillId="0" borderId="0" xfId="43" applyNumberFormat="1" applyFont="1" applyBorder="1" applyAlignment="1">
      <alignment horizontal="center" vertical="center"/>
    </xf>
    <xf numFmtId="0" fontId="90" fillId="0" borderId="21" xfId="0" applyFont="1" applyBorder="1" applyAlignment="1">
      <alignment vertical="center"/>
    </xf>
    <xf numFmtId="2" fontId="3" fillId="0" borderId="0" xfId="59" applyNumberFormat="1" applyFont="1" applyFill="1" applyBorder="1" applyAlignment="1">
      <alignment horizontal="center"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2" fontId="3" fillId="0" borderId="14" xfId="59" applyNumberFormat="1" applyFont="1" applyBorder="1" applyAlignment="1">
      <alignment horizontal="center" vertical="center"/>
      <protection/>
    </xf>
    <xf numFmtId="2" fontId="16" fillId="0" borderId="14" xfId="59" applyNumberFormat="1" applyFont="1" applyBorder="1" applyAlignment="1">
      <alignment horizontal="center" vertical="center"/>
      <protection/>
    </xf>
    <xf numFmtId="2" fontId="16" fillId="0" borderId="0" xfId="59" applyNumberFormat="1" applyFont="1" applyBorder="1" applyAlignment="1">
      <alignment horizontal="center" vertical="center"/>
      <protection/>
    </xf>
    <xf numFmtId="2" fontId="16" fillId="0" borderId="0" xfId="59" applyNumberFormat="1" applyFont="1" applyFill="1" applyBorder="1" applyAlignment="1">
      <alignment horizontal="center" vertical="center"/>
      <protection/>
    </xf>
    <xf numFmtId="2" fontId="16" fillId="8" borderId="0" xfId="59" applyNumberFormat="1" applyFont="1" applyFill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166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67" fontId="94" fillId="0" borderId="0" xfId="0" applyNumberFormat="1" applyFont="1" applyAlignment="1">
      <alignment horizontal="center" vertical="center"/>
    </xf>
    <xf numFmtId="0" fontId="90" fillId="0" borderId="0" xfId="0" applyFont="1" applyAlignment="1">
      <alignment horizontal="center"/>
    </xf>
    <xf numFmtId="167" fontId="90" fillId="0" borderId="0" xfId="0" applyNumberFormat="1" applyFont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2" fontId="9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 vertical="center"/>
    </xf>
    <xf numFmtId="0" fontId="9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5" fontId="3" fillId="0" borderId="32" xfId="0" applyNumberFormat="1" applyFont="1" applyBorder="1" applyAlignment="1">
      <alignment horizontal="center" vertical="center"/>
    </xf>
    <xf numFmtId="165" fontId="90" fillId="0" borderId="14" xfId="0" applyNumberFormat="1" applyFont="1" applyBorder="1" applyAlignment="1">
      <alignment horizontal="center" vertical="center"/>
    </xf>
    <xf numFmtId="165" fontId="90" fillId="0" borderId="0" xfId="0" applyNumberFormat="1" applyFont="1" applyBorder="1" applyAlignment="1">
      <alignment horizontal="center" vertical="center"/>
    </xf>
    <xf numFmtId="165" fontId="90" fillId="0" borderId="12" xfId="0" applyNumberFormat="1" applyFont="1" applyBorder="1" applyAlignment="1">
      <alignment horizontal="center" vertical="center"/>
    </xf>
    <xf numFmtId="165" fontId="90" fillId="0" borderId="13" xfId="0" applyNumberFormat="1" applyFont="1" applyBorder="1" applyAlignment="1">
      <alignment horizontal="center" vertical="center"/>
    </xf>
    <xf numFmtId="165" fontId="90" fillId="0" borderId="0" xfId="43" applyNumberFormat="1" applyFont="1" applyBorder="1" applyAlignment="1">
      <alignment horizontal="center" vertical="center"/>
    </xf>
    <xf numFmtId="0" fontId="3" fillId="0" borderId="21" xfId="41" applyFont="1" applyFill="1" applyBorder="1" applyAlignment="1">
      <alignment vertical="center"/>
    </xf>
    <xf numFmtId="165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 quotePrefix="1">
      <alignment horizontal="center" vertical="center"/>
    </xf>
    <xf numFmtId="165" fontId="3" fillId="0" borderId="35" xfId="0" applyNumberFormat="1" applyFont="1" applyBorder="1" applyAlignment="1" quotePrefix="1">
      <alignment horizontal="center" vertical="center"/>
    </xf>
    <xf numFmtId="165" fontId="3" fillId="0" borderId="36" xfId="0" applyNumberFormat="1" applyFont="1" applyBorder="1" applyAlignment="1" quotePrefix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95" fillId="0" borderId="0" xfId="59" applyFont="1">
      <alignment/>
      <protection/>
    </xf>
    <xf numFmtId="0" fontId="95" fillId="0" borderId="0" xfId="59" applyFont="1" applyAlignment="1">
      <alignment horizontal="center" vertical="center"/>
      <protection/>
    </xf>
    <xf numFmtId="2" fontId="95" fillId="0" borderId="0" xfId="59" applyNumberFormat="1" applyFont="1" applyAlignment="1">
      <alignment vertical="center"/>
      <protection/>
    </xf>
    <xf numFmtId="0" fontId="95" fillId="0" borderId="0" xfId="59" applyFont="1" applyAlignment="1">
      <alignment vertical="center"/>
      <protection/>
    </xf>
    <xf numFmtId="0" fontId="96" fillId="0" borderId="0" xfId="59" applyFont="1" applyAlignment="1">
      <alignment vertical="center"/>
      <protection/>
    </xf>
    <xf numFmtId="9" fontId="95" fillId="0" borderId="0" xfId="59" applyNumberFormat="1" applyFont="1" applyAlignment="1">
      <alignment vertical="center"/>
      <protection/>
    </xf>
    <xf numFmtId="165" fontId="95" fillId="0" borderId="12" xfId="59" applyNumberFormat="1" applyFont="1" applyBorder="1" applyAlignment="1">
      <alignment horizontal="center" vertical="center"/>
      <protection/>
    </xf>
    <xf numFmtId="165" fontId="95" fillId="0" borderId="14" xfId="59" applyNumberFormat="1" applyFont="1" applyBorder="1" applyAlignment="1">
      <alignment horizontal="center" vertical="center"/>
      <protection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2" fontId="90" fillId="0" borderId="20" xfId="0" applyNumberFormat="1" applyFont="1" applyBorder="1" applyAlignment="1">
      <alignment horizontal="center" vertical="center"/>
    </xf>
    <xf numFmtId="2" fontId="90" fillId="0" borderId="3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167" fontId="90" fillId="0" borderId="0" xfId="0" applyNumberFormat="1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167" fontId="9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" fontId="9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0" borderId="0" xfId="62" applyNumberFormat="1" applyFont="1" applyAlignment="1">
      <alignment horizontal="center" vertical="center"/>
    </xf>
    <xf numFmtId="0" fontId="97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167" fontId="90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167" fontId="98" fillId="0" borderId="0" xfId="0" applyNumberFormat="1" applyFont="1" applyAlignment="1">
      <alignment horizontal="center" vertical="center"/>
    </xf>
    <xf numFmtId="167" fontId="99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90" fillId="0" borderId="0" xfId="0" applyNumberFormat="1" applyFont="1" applyBorder="1" applyAlignment="1">
      <alignment horizontal="center" vertical="center"/>
    </xf>
    <xf numFmtId="0" fontId="10" fillId="0" borderId="18" xfId="59" applyFont="1" applyBorder="1" applyAlignment="1">
      <alignment horizontal="center" vertical="center"/>
      <protection/>
    </xf>
    <xf numFmtId="0" fontId="10" fillId="0" borderId="16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/>
      <protection/>
    </xf>
    <xf numFmtId="0" fontId="10" fillId="0" borderId="17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 vertical="center" wrapText="1"/>
      <protection/>
    </xf>
    <xf numFmtId="0" fontId="11" fillId="0" borderId="39" xfId="59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38" xfId="59" applyFont="1" applyBorder="1" applyAlignment="1">
      <alignment horizontal="center"/>
      <protection/>
    </xf>
    <xf numFmtId="0" fontId="11" fillId="0" borderId="19" xfId="59" applyFont="1" applyBorder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40" xfId="41" applyFont="1" applyFill="1" applyBorder="1" applyAlignment="1">
      <alignment horizontal="center" vertical="center" wrapText="1"/>
    </xf>
    <xf numFmtId="0" fontId="3" fillId="0" borderId="41" xfId="41" applyFont="1" applyFill="1" applyBorder="1" applyAlignment="1">
      <alignment horizontal="center" vertical="center" wrapText="1"/>
    </xf>
    <xf numFmtId="0" fontId="3" fillId="0" borderId="42" xfId="41" applyFont="1" applyFill="1" applyBorder="1" applyAlignment="1">
      <alignment horizontal="center" vertical="center" wrapText="1"/>
    </xf>
    <xf numFmtId="0" fontId="3" fillId="0" borderId="43" xfId="41" applyFont="1" applyFill="1" applyBorder="1" applyAlignment="1">
      <alignment horizontal="center" vertical="center" wrapText="1"/>
    </xf>
    <xf numFmtId="0" fontId="3" fillId="0" borderId="44" xfId="41" applyFont="1" applyFill="1" applyBorder="1" applyAlignment="1">
      <alignment horizontal="center" vertical="center"/>
    </xf>
    <xf numFmtId="0" fontId="3" fillId="0" borderId="45" xfId="41" applyFon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44" xfId="41" applyFont="1" applyFill="1" applyBorder="1" applyAlignment="1">
      <alignment horizontal="center" vertical="center" wrapText="1"/>
    </xf>
    <xf numFmtId="0" fontId="3" fillId="0" borderId="45" xfId="41" applyFont="1" applyFill="1" applyBorder="1" applyAlignment="1">
      <alignment horizontal="center" vertical="center" wrapText="1"/>
    </xf>
    <xf numFmtId="0" fontId="3" fillId="0" borderId="46" xfId="41" applyFont="1" applyFill="1" applyBorder="1" applyAlignment="1">
      <alignment horizontal="center" vertical="center"/>
    </xf>
    <xf numFmtId="0" fontId="3" fillId="0" borderId="32" xfId="4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 quotePrefix="1">
      <alignment horizontal="center" vertical="center"/>
    </xf>
    <xf numFmtId="165" fontId="3" fillId="0" borderId="48" xfId="0" applyNumberFormat="1" applyFont="1" applyBorder="1" applyAlignment="1" quotePrefix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0" fontId="3" fillId="0" borderId="41" xfId="41" applyFont="1" applyFill="1" applyBorder="1" applyAlignment="1">
      <alignment horizontal="center" vertical="center"/>
    </xf>
    <xf numFmtId="0" fontId="3" fillId="0" borderId="50" xfId="41" applyFon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41" applyFont="1" applyFill="1" applyBorder="1" applyAlignment="1">
      <alignment horizontal="center" vertical="center"/>
    </xf>
    <xf numFmtId="0" fontId="3" fillId="0" borderId="54" xfId="41" applyFont="1" applyFill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90" fillId="0" borderId="56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100" fillId="0" borderId="0" xfId="59" applyFont="1" applyAlignment="1">
      <alignment horizontal="right" vertical="center"/>
      <protection/>
    </xf>
    <xf numFmtId="9" fontId="95" fillId="0" borderId="0" xfId="59" applyNumberFormat="1" applyFont="1" applyAlignment="1">
      <alignment horizontal="center" vertical="center"/>
      <protection/>
    </xf>
    <xf numFmtId="0" fontId="101" fillId="0" borderId="24" xfId="0" applyFont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101" fillId="0" borderId="26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0" fontId="90" fillId="0" borderId="57" xfId="0" applyFont="1" applyBorder="1" applyAlignment="1">
      <alignment horizontal="center"/>
    </xf>
    <xf numFmtId="0" fontId="95" fillId="0" borderId="0" xfId="59" applyFont="1" applyAlignment="1">
      <alignment horizontal="center" vertical="center"/>
      <protection/>
    </xf>
    <xf numFmtId="0" fontId="102" fillId="0" borderId="0" xfId="59" applyFont="1" applyAlignment="1">
      <alignment horizontal="center" vertical="center"/>
      <protection/>
    </xf>
    <xf numFmtId="0" fontId="90" fillId="0" borderId="31" xfId="0" applyFont="1" applyBorder="1" applyAlignment="1">
      <alignment horizontal="center"/>
    </xf>
    <xf numFmtId="0" fontId="90" fillId="0" borderId="58" xfId="0" applyFont="1" applyBorder="1" applyAlignment="1">
      <alignment horizontal="center"/>
    </xf>
    <xf numFmtId="0" fontId="101" fillId="0" borderId="31" xfId="0" applyFont="1" applyBorder="1" applyAlignment="1">
      <alignment horizontal="center"/>
    </xf>
    <xf numFmtId="0" fontId="90" fillId="0" borderId="59" xfId="0" applyFont="1" applyBorder="1" applyAlignment="1">
      <alignment horizontal="center"/>
    </xf>
    <xf numFmtId="0" fontId="90" fillId="0" borderId="26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90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wrapText="1"/>
    </xf>
    <xf numFmtId="167" fontId="90" fillId="0" borderId="0" xfId="0" applyNumberFormat="1" applyFont="1" applyAlignment="1">
      <alignment horizontal="center" vertical="center" wrapText="1"/>
    </xf>
    <xf numFmtId="2" fontId="94" fillId="0" borderId="0" xfId="0" applyNumberFormat="1" applyFont="1" applyAlignment="1">
      <alignment horizontal="center" vertical="center" wrapText="1"/>
    </xf>
    <xf numFmtId="165" fontId="90" fillId="0" borderId="13" xfId="0" applyNumberFormat="1" applyFont="1" applyBorder="1" applyAlignment="1">
      <alignment horizontal="center" vertical="center" wrapText="1"/>
    </xf>
    <xf numFmtId="165" fontId="90" fillId="0" borderId="14" xfId="0" applyNumberFormat="1" applyFont="1" applyBorder="1" applyAlignment="1">
      <alignment horizontal="center" vertical="center" wrapText="1"/>
    </xf>
    <xf numFmtId="165" fontId="90" fillId="0" borderId="0" xfId="0" applyNumberFormat="1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167" fontId="90" fillId="0" borderId="0" xfId="0" applyNumberFormat="1" applyFont="1" applyBorder="1" applyAlignment="1">
      <alignment horizontal="center" vertical="center" wrapText="1"/>
    </xf>
    <xf numFmtId="165" fontId="90" fillId="0" borderId="12" xfId="0" applyNumberFormat="1" applyFont="1" applyBorder="1" applyAlignment="1">
      <alignment horizontal="center" vertical="center" wrapText="1"/>
    </xf>
    <xf numFmtId="167" fontId="90" fillId="0" borderId="12" xfId="0" applyNumberFormat="1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 wrapText="1"/>
    </xf>
    <xf numFmtId="2" fontId="90" fillId="0" borderId="12" xfId="0" applyNumberFormat="1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7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95" fontId="3" fillId="0" borderId="0" xfId="0" applyNumberFormat="1" applyFont="1" applyFill="1" applyAlignment="1">
      <alignment vertical="center"/>
    </xf>
    <xf numFmtId="167" fontId="3" fillId="0" borderId="14" xfId="0" applyNumberFormat="1" applyFont="1" applyFill="1" applyBorder="1" applyAlignment="1">
      <alignment horizontal="center" vertical="center"/>
    </xf>
    <xf numFmtId="1" fontId="3" fillId="0" borderId="0" xfId="62" applyNumberFormat="1" applyFont="1" applyFill="1" applyAlignment="1">
      <alignment vertical="center"/>
    </xf>
    <xf numFmtId="1" fontId="3" fillId="0" borderId="0" xfId="62" applyNumberFormat="1" applyFont="1" applyFill="1" applyAlignment="1">
      <alignment horizontal="center" vertical="center"/>
    </xf>
    <xf numFmtId="167" fontId="3" fillId="0" borderId="0" xfId="62" applyNumberFormat="1" applyFont="1" applyFill="1" applyAlignment="1">
      <alignment horizontal="left" vertical="center"/>
    </xf>
    <xf numFmtId="167" fontId="3" fillId="0" borderId="0" xfId="62" applyNumberFormat="1" applyFont="1" applyFill="1" applyAlignment="1">
      <alignment vertical="center"/>
    </xf>
    <xf numFmtId="167" fontId="3" fillId="0" borderId="0" xfId="62" applyNumberFormat="1" applyFont="1" applyFill="1" applyAlignment="1">
      <alignment horizontal="center" vertical="center"/>
    </xf>
    <xf numFmtId="1" fontId="2" fillId="0" borderId="0" xfId="62" applyNumberFormat="1" applyFont="1" applyFill="1" applyAlignment="1">
      <alignment vertical="center"/>
    </xf>
    <xf numFmtId="169" fontId="2" fillId="0" borderId="0" xfId="62" applyNumberFormat="1" applyFont="1" applyFill="1" applyAlignment="1">
      <alignment vertical="center"/>
    </xf>
    <xf numFmtId="167" fontId="3" fillId="0" borderId="0" xfId="62" applyNumberFormat="1" applyFont="1" applyFill="1" applyAlignment="1">
      <alignment horizontal="center" vertical="center"/>
    </xf>
    <xf numFmtId="165" fontId="2" fillId="0" borderId="0" xfId="62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horizontal="lef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7" fontId="3" fillId="0" borderId="61" xfId="0" applyNumberFormat="1" applyFont="1" applyFill="1" applyBorder="1" applyAlignment="1">
      <alignment horizontal="center" vertical="center"/>
    </xf>
    <xf numFmtId="167" fontId="3" fillId="0" borderId="62" xfId="0" applyNumberFormat="1" applyFont="1" applyFill="1" applyBorder="1" applyAlignment="1">
      <alignment horizontal="center" vertical="center"/>
    </xf>
    <xf numFmtId="167" fontId="3" fillId="0" borderId="6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67" fontId="2" fillId="0" borderId="0" xfId="0" applyNumberFormat="1" applyFont="1" applyFill="1" applyAlignment="1">
      <alignment vertical="center"/>
    </xf>
    <xf numFmtId="167" fontId="16" fillId="0" borderId="0" xfId="0" applyNumberFormat="1" applyFont="1" applyFill="1" applyAlignment="1">
      <alignment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16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left" vertical="center"/>
    </xf>
    <xf numFmtId="16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2" fontId="20" fillId="0" borderId="0" xfId="0" applyNumberFormat="1" applyFont="1" applyFill="1" applyAlignment="1">
      <alignment vertical="center"/>
    </xf>
    <xf numFmtId="165" fontId="20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3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43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17" fillId="0" borderId="3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167" fontId="13" fillId="0" borderId="15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left" vertical="center"/>
    </xf>
    <xf numFmtId="167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66" fontId="11" fillId="8" borderId="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3" fillId="14" borderId="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1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217" fontId="11" fillId="14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59" applyFont="1" applyFill="1">
      <alignment/>
      <protection/>
    </xf>
    <xf numFmtId="0" fontId="62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2" fontId="11" fillId="8" borderId="21" xfId="0" applyNumberFormat="1" applyFont="1" applyFill="1" applyBorder="1" applyAlignment="1">
      <alignment horizontal="center" vertical="center"/>
    </xf>
    <xf numFmtId="167" fontId="11" fillId="8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Data Curah Hujan Bulanan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Tahun 2010-2019</a:t>
            </a:r>
          </a:p>
        </c:rich>
      </c:tx>
      <c:layout>
        <c:manualLayout>
          <c:xMode val="factor"/>
          <c:yMode val="factor"/>
          <c:x val="-0.005"/>
          <c:y val="-0.03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25"/>
          <c:y val="0.067"/>
          <c:w val="0.94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 10 Th'!$AY$4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Th'!$AZ$4:$BK$4</c:f>
              <c:numCache/>
            </c:numRef>
          </c:val>
        </c:ser>
        <c:ser>
          <c:idx val="1"/>
          <c:order val="1"/>
          <c:tx>
            <c:strRef>
              <c:f>'CH 10 Th'!$AY$5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Th'!$AZ$5:$BK$5</c:f>
              <c:numCache/>
            </c:numRef>
          </c:val>
        </c:ser>
        <c:ser>
          <c:idx val="2"/>
          <c:order val="2"/>
          <c:tx>
            <c:strRef>
              <c:f>'CH 10 Th'!$AY$6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Th'!$AZ$6:$BK$6</c:f>
              <c:numCache/>
            </c:numRef>
          </c:val>
        </c:ser>
        <c:ser>
          <c:idx val="3"/>
          <c:order val="3"/>
          <c:tx>
            <c:strRef>
              <c:f>'CH 10 Th'!$AY$7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Th'!$AZ$7:$BK$7</c:f>
              <c:numCache/>
            </c:numRef>
          </c:val>
        </c:ser>
        <c:ser>
          <c:idx val="4"/>
          <c:order val="4"/>
          <c:tx>
            <c:strRef>
              <c:f>'CH 10 Th'!$AY$8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Th'!$AZ$8:$BK$8</c:f>
              <c:numCache/>
            </c:numRef>
          </c:val>
        </c:ser>
        <c:ser>
          <c:idx val="5"/>
          <c:order val="5"/>
          <c:tx>
            <c:strRef>
              <c:f>'CH 10 Th'!$AY$9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Th'!$AZ$9:$BK$9</c:f>
              <c:numCache/>
            </c:numRef>
          </c:val>
        </c:ser>
        <c:ser>
          <c:idx val="6"/>
          <c:order val="6"/>
          <c:tx>
            <c:strRef>
              <c:f>'CH 10 Th'!$AY$10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644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Th'!$AZ$10:$BK$10</c:f>
              <c:numCache/>
            </c:numRef>
          </c:val>
        </c:ser>
        <c:ser>
          <c:idx val="7"/>
          <c:order val="7"/>
          <c:tx>
            <c:strRef>
              <c:f>'CH 10 Th'!$AY$11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Th'!$AZ$11:$BK$11</c:f>
              <c:numCache/>
            </c:numRef>
          </c:val>
        </c:ser>
        <c:ser>
          <c:idx val="8"/>
          <c:order val="8"/>
          <c:tx>
            <c:strRef>
              <c:f>'CH 10 Th'!$AY$12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Th'!$AZ$12:$BK$12</c:f>
              <c:numCache/>
            </c:numRef>
          </c:val>
        </c:ser>
        <c:ser>
          <c:idx val="9"/>
          <c:order val="9"/>
          <c:tx>
            <c:strRef>
              <c:f>'CH 10 Th'!$AY$13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 10 Th'!$AZ$3:$BK$3</c:f>
              <c:strCache/>
            </c:strRef>
          </c:cat>
          <c:val>
            <c:numRef>
              <c:f>'CH 10 Th'!$AZ$13:$BK$13</c:f>
              <c:numCache/>
            </c:numRef>
          </c:val>
        </c:ser>
        <c:gapWidth val="219"/>
        <c:axId val="59494237"/>
        <c:axId val="48112006"/>
      </c:barChart>
      <c:lineChart>
        <c:grouping val="standard"/>
        <c:varyColors val="0"/>
        <c:ser>
          <c:idx val="10"/>
          <c:order val="10"/>
          <c:tx>
            <c:strRef>
              <c:f>'CH 10 Th'!$AY$14</c:f>
              <c:strCache>
                <c:ptCount val="1"/>
                <c:pt idx="0">
                  <c:v>Rata-rata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'CH 10 Th'!$AZ$3:$BK$3</c:f>
              <c:strCache/>
            </c:strRef>
          </c:cat>
          <c:val>
            <c:numRef>
              <c:f>'CH 10 Th'!$AZ$14:$BK$14</c:f>
              <c:numCache/>
            </c:numRef>
          </c:val>
          <c:smooth val="0"/>
        </c:ser>
        <c:ser>
          <c:idx val="11"/>
          <c:order val="11"/>
          <c:tx>
            <c:strRef>
              <c:f>'CH 10 Th'!$AY$15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 10 Th'!$AZ$3:$BK$3</c:f>
              <c:strCache/>
            </c:strRef>
          </c:cat>
          <c:val>
            <c:numRef>
              <c:f>'CH 10 Th'!$AZ$15:$BK$15</c:f>
              <c:numCache/>
            </c:numRef>
          </c:val>
          <c:smooth val="0"/>
        </c:ser>
        <c:axId val="59494237"/>
        <c:axId val="48112006"/>
      </c:lineChart>
      <c:catAx>
        <c:axId val="5949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1" u="none" baseline="0">
                    <a:solidFill>
                      <a:srgbClr val="000000"/>
                    </a:solidFill>
                  </a:rPr>
                  <a:t>BMKG Stasiun Meteorologi Kelas.III Betoambari - Baubau</a:t>
                </a:r>
              </a:p>
            </c:rich>
          </c:tx>
          <c:layout>
            <c:manualLayout>
              <c:xMode val="factor"/>
              <c:yMode val="factor"/>
              <c:x val="0.2662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12006"/>
        <c:crosses val="autoZero"/>
        <c:auto val="1"/>
        <c:lblOffset val="100"/>
        <c:tickLblSkip val="1"/>
        <c:noMultiLvlLbl val="0"/>
      </c:catAx>
      <c:valAx>
        <c:axId val="4811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Curah Hujan (mm)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solidFill>
              <a:srgbClr val="B4C7E7"/>
            </a:solidFill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9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75"/>
          <c:y val="0.901"/>
          <c:w val="0.66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E7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9"/>
      <c:rotY val="20"/>
      <c:depthPercent val="100"/>
      <c:rAngAx val="1"/>
    </c:view3D>
    <c:plotArea>
      <c:layout>
        <c:manualLayout>
          <c:xMode val="edge"/>
          <c:yMode val="edge"/>
          <c:x val="0.05"/>
          <c:y val="0.08925"/>
          <c:w val="0.92725"/>
          <c:h val="0.818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Grafik!$E$20</c:f>
              <c:strCache>
                <c:ptCount val="1"/>
                <c:pt idx="0">
                  <c:v>Presentase (%)</c:v>
                </c:pt>
              </c:strCache>
            </c:strRef>
          </c:tx>
          <c:spPr>
            <a:solidFill>
              <a:srgbClr val="333F50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Grafik!$A$21:$A$33</c:f>
              <c:strCache/>
            </c:strRef>
          </c:cat>
          <c:val>
            <c:numRef>
              <c:f>Grafik!$E$21:$E$33</c:f>
              <c:numCache/>
            </c:numRef>
          </c:val>
          <c:shape val="box"/>
        </c:ser>
        <c:gapWidth val="300"/>
        <c:shape val="box"/>
        <c:axId val="22515511"/>
        <c:axId val="33019568"/>
      </c:bar3DChart>
      <c:catAx>
        <c:axId val="22515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Penggunaan Lahan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615"/>
            </c:manualLayout>
          </c:layout>
          <c:overlay val="0"/>
          <c:spPr>
            <a:gradFill rotWithShape="1">
              <a:gsLst>
                <a:gs pos="0">
                  <a:srgbClr val="D2D2D2"/>
                </a:gs>
                <a:gs pos="50000">
                  <a:srgbClr val="C8C8C8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969696"/>
              </a:solidFill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\ %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19568"/>
        <c:crosses val="autoZero"/>
        <c:auto val="1"/>
        <c:lblOffset val="100"/>
        <c:tickLblSkip val="1"/>
        <c:noMultiLvlLbl val="0"/>
      </c:catAx>
      <c:valAx>
        <c:axId val="3301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>
                    <a:solidFill>
                      <a:srgbClr val="000000"/>
                    </a:solidFill>
                  </a:rPr>
                  <a:t>Presentase Penggunaan Lahan Kawasan DAS Baubau</a:t>
                </a:r>
              </a:p>
            </c:rich>
          </c:tx>
          <c:layout>
            <c:manualLayout>
              <c:xMode val="factor"/>
              <c:yMode val="factor"/>
              <c:x val="-0.0225"/>
              <c:y val="-0.76475"/>
            </c:manualLayout>
          </c:layout>
          <c:overlay val="0"/>
          <c:spPr>
            <a:solidFill>
              <a:srgbClr val="F2F2F2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515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825"/>
          <c:y val="0.8375"/>
          <c:w val="0.203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Grafik Resume Frekuensi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75"/>
          <c:w val="0.94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Grafik!$B$1</c:f>
              <c:strCache>
                <c:ptCount val="1"/>
                <c:pt idx="0">
                  <c:v>Normal 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Grafik!$A$2:$A$6</c:f>
              <c:strCache/>
            </c:strRef>
          </c:cat>
          <c:val>
            <c:numRef>
              <c:f>Grafik!$B$2:$B$6</c:f>
              <c:numCache/>
            </c:numRef>
          </c:val>
          <c:smooth val="0"/>
        </c:ser>
        <c:ser>
          <c:idx val="1"/>
          <c:order val="1"/>
          <c:tx>
            <c:strRef>
              <c:f>Grafik!$C$1</c:f>
              <c:strCache>
                <c:ptCount val="1"/>
                <c:pt idx="0">
                  <c:v>Log Normal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Grafik!$A$2:$A$6</c:f>
              <c:strCache/>
            </c:strRef>
          </c:cat>
          <c:val>
            <c:numRef>
              <c:f>Grafik!$C$2:$C$6</c:f>
              <c:numCache/>
            </c:numRef>
          </c:val>
          <c:smooth val="0"/>
        </c:ser>
        <c:ser>
          <c:idx val="2"/>
          <c:order val="2"/>
          <c:tx>
            <c:strRef>
              <c:f>Grafik!$D$1</c:f>
              <c:strCache>
                <c:ptCount val="1"/>
                <c:pt idx="0">
                  <c:v>Log Person III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Grafik!$A$2:$A$6</c:f>
              <c:strCache/>
            </c:strRef>
          </c:cat>
          <c:val>
            <c:numRef>
              <c:f>Grafik!$D$2:$D$6</c:f>
              <c:numCache/>
            </c:numRef>
          </c:val>
          <c:smooth val="0"/>
        </c:ser>
        <c:ser>
          <c:idx val="3"/>
          <c:order val="3"/>
          <c:tx>
            <c:strRef>
              <c:f>Grafik!$E$1</c:f>
              <c:strCache>
                <c:ptCount val="1"/>
                <c:pt idx="0">
                  <c:v>Gumbel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Grafik!$A$2:$A$6</c:f>
              <c:strCache/>
            </c:strRef>
          </c:cat>
          <c:val>
            <c:numRef>
              <c:f>Grafik!$E$2:$E$6</c:f>
              <c:numCache/>
            </c:numRef>
          </c:val>
          <c:smooth val="0"/>
        </c:ser>
        <c:dropLines>
          <c:spPr>
            <a:ln w="3175">
              <a:solidFill>
                <a:srgbClr val="FF8080"/>
              </a:solidFill>
              <a:prstDash val="sysDot"/>
            </a:ln>
          </c:spPr>
        </c:dropLines>
        <c:marker val="1"/>
        <c:axId val="61618225"/>
        <c:axId val="1836538"/>
      </c:lineChart>
      <c:catAx>
        <c:axId val="61618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Periode Ulang (Tahun)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36538"/>
        <c:crosses val="autoZero"/>
        <c:auto val="1"/>
        <c:lblOffset val="100"/>
        <c:tickLblSkip val="1"/>
        <c:noMultiLvlLbl val="0"/>
      </c:catAx>
      <c:valAx>
        <c:axId val="1836538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Curah Hujan (mm)</a:t>
                </a:r>
              </a:p>
            </c:rich>
          </c:tx>
          <c:layout>
            <c:manualLayout>
              <c:xMode val="factor"/>
              <c:yMode val="factor"/>
              <c:x val="0.006"/>
              <c:y val="0.02325"/>
            </c:manualLayout>
          </c:layout>
          <c:overlay val="0"/>
          <c:spPr>
            <a:gradFill rotWithShape="1">
              <a:gsLst>
                <a:gs pos="0">
                  <a:srgbClr val="B1CBE9"/>
                </a:gs>
                <a:gs pos="50000">
                  <a:srgbClr val="A3C1E5"/>
                </a:gs>
                <a:gs pos="100000">
                  <a:srgbClr val="92B9E4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.00" sourceLinked="0"/>
        <c:majorTickMark val="in"/>
        <c:minorTickMark val="in"/>
        <c:tickLblPos val="high"/>
        <c:spPr>
          <a:ln w="3175">
            <a:solidFill>
              <a:srgbClr val="3399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2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9"/>
          <c:y val="0.117"/>
          <c:w val="0.617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Hidrograf Satuan Sintetik Nakayasu Sungai Baubau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5"/>
          <c:y val="0.066"/>
          <c:w val="0.94575"/>
          <c:h val="0.8075"/>
        </c:manualLayout>
      </c:layout>
      <c:lineChart>
        <c:grouping val="stacked"/>
        <c:varyColors val="0"/>
        <c:ser>
          <c:idx val="2"/>
          <c:order val="0"/>
          <c:tx>
            <c:strRef>
              <c:f>Grafik!$C$77</c:f>
              <c:strCache>
                <c:ptCount val="1"/>
                <c:pt idx="0">
                  <c:v>2 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Grafik!$C$78:$C$105</c:f>
              <c:numCache/>
            </c:numRef>
          </c:val>
          <c:smooth val="0"/>
        </c:ser>
        <c:ser>
          <c:idx val="3"/>
          <c:order val="1"/>
          <c:tx>
            <c:strRef>
              <c:f>Grafik!$D$77</c:f>
              <c:strCache>
                <c:ptCount val="1"/>
                <c:pt idx="0">
                  <c:v>5 Th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Grafik!$D$78:$D$105</c:f>
              <c:numCache/>
            </c:numRef>
          </c:val>
          <c:smooth val="0"/>
        </c:ser>
        <c:ser>
          <c:idx val="4"/>
          <c:order val="2"/>
          <c:tx>
            <c:strRef>
              <c:f>Grafik!$E$77</c:f>
              <c:strCache>
                <c:ptCount val="1"/>
                <c:pt idx="0">
                  <c:v>10 Th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Grafik!$E$78:$E$105</c:f>
              <c:numCache/>
            </c:numRef>
          </c:val>
          <c:smooth val="0"/>
        </c:ser>
        <c:ser>
          <c:idx val="5"/>
          <c:order val="3"/>
          <c:tx>
            <c:strRef>
              <c:f>Grafik!$F$77</c:f>
              <c:strCache>
                <c:ptCount val="1"/>
                <c:pt idx="0">
                  <c:v>20 Th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Grafik!$F$78:$F$105</c:f>
              <c:numCache/>
            </c:numRef>
          </c:val>
          <c:smooth val="0"/>
        </c:ser>
        <c:ser>
          <c:idx val="6"/>
          <c:order val="4"/>
          <c:tx>
            <c:strRef>
              <c:f>Grafik!$G$77</c:f>
              <c:strCache>
                <c:ptCount val="1"/>
                <c:pt idx="0">
                  <c:v>25 Th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Grafik!$G$78:$G$105</c:f>
              <c:numCache/>
            </c:numRef>
          </c:val>
          <c:smooth val="0"/>
        </c:ser>
        <c:ser>
          <c:idx val="7"/>
          <c:order val="5"/>
          <c:tx>
            <c:strRef>
              <c:f>Grafik!$H$77</c:f>
              <c:strCache>
                <c:ptCount val="1"/>
                <c:pt idx="0">
                  <c:v>50 Th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Grafik!$H$78:$H$105</c:f>
              <c:numCache/>
            </c:numRef>
          </c:val>
          <c:smooth val="0"/>
        </c:ser>
        <c:ser>
          <c:idx val="8"/>
          <c:order val="6"/>
          <c:tx>
            <c:strRef>
              <c:f>Grafik!$I$77</c:f>
              <c:strCache>
                <c:ptCount val="1"/>
                <c:pt idx="0">
                  <c:v>100 Th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Grafik!$A$78:$A$105</c:f>
              <c:numCache/>
            </c:numRef>
          </c:cat>
          <c:val>
            <c:numRef>
              <c:f>Grafik!$I$78:$I$105</c:f>
              <c:numCache/>
            </c:numRef>
          </c:val>
          <c:smooth val="0"/>
        </c:ser>
        <c:dropLines>
          <c:spPr>
            <a:ln w="3175">
              <a:solidFill>
                <a:srgbClr val="FF99CC"/>
              </a:solidFill>
            </a:ln>
          </c:spPr>
        </c:dropLines>
        <c:marker val="1"/>
        <c:axId val="66958411"/>
        <c:axId val="56125796"/>
      </c:lineChart>
      <c:catAx>
        <c:axId val="6695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sng" baseline="0">
                    <a:solidFill>
                      <a:srgbClr val="000000"/>
                    </a:solidFill>
                  </a:rPr>
                  <a:t>Waktu/Jam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25796"/>
        <c:crossesAt val="0"/>
        <c:auto val="1"/>
        <c:lblOffset val="100"/>
        <c:tickLblSkip val="1"/>
        <c:noMultiLvlLbl val="0"/>
      </c:catAx>
      <c:valAx>
        <c:axId val="5612579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sng" baseline="0">
                    <a:solidFill>
                      <a:srgbClr val="000000"/>
                    </a:solidFill>
                  </a:rPr>
                  <a:t>Grand Total Debit (m³/s) Periode Ulang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8411"/>
        <c:crossesAt val="1"/>
        <c:crossBetween val="between"/>
        <c:dispUnits/>
      </c:valAx>
      <c:spPr>
        <a:gradFill rotWithShape="1">
          <a:gsLst>
            <a:gs pos="999">
              <a:srgbClr val="EFF2FB"/>
            </a:gs>
            <a:gs pos="100000">
              <a:srgbClr val="DAE3F3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915"/>
          <c:y val="0.94025"/>
          <c:w val="0.614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Distribusi Curah Hujan Tiap Jamnya</a:t>
            </a:r>
          </a:p>
        </c:rich>
      </c:tx>
      <c:layout>
        <c:manualLayout>
          <c:xMode val="factor"/>
          <c:yMode val="factor"/>
          <c:x val="0.0055"/>
          <c:y val="0.0185"/>
        </c:manualLayout>
      </c:layout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53"/>
          <c:y val="0.1485"/>
          <c:w val="0.927"/>
          <c:h val="0.6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Grafik!$C$42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Grafik!$C$43:$C$47</c:f>
              <c:numCache/>
            </c:numRef>
          </c:val>
          <c:shape val="box"/>
        </c:ser>
        <c:ser>
          <c:idx val="1"/>
          <c:order val="1"/>
          <c:tx>
            <c:strRef>
              <c:f>Grafik!$D$42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Grafik!$D$43:$D$47</c:f>
              <c:numCache/>
            </c:numRef>
          </c:val>
          <c:shape val="box"/>
        </c:ser>
        <c:ser>
          <c:idx val="2"/>
          <c:order val="2"/>
          <c:tx>
            <c:strRef>
              <c:f>Grafik!$E$42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Grafik!$E$43:$E$47</c:f>
              <c:numCache/>
            </c:numRef>
          </c:val>
          <c:shape val="box"/>
        </c:ser>
        <c:ser>
          <c:idx val="3"/>
          <c:order val="3"/>
          <c:tx>
            <c:strRef>
              <c:f>Grafik!$F$42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Grafik!$F$43:$F$47</c:f>
              <c:numCache/>
            </c:numRef>
          </c:val>
          <c:shape val="box"/>
        </c:ser>
        <c:ser>
          <c:idx val="4"/>
          <c:order val="4"/>
          <c:tx>
            <c:strRef>
              <c:f>Grafik!$G$42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Grafik!$G$43:$G$47</c:f>
              <c:numCache/>
            </c:numRef>
          </c:val>
          <c:shape val="box"/>
        </c:ser>
        <c:ser>
          <c:idx val="5"/>
          <c:order val="5"/>
          <c:tx>
            <c:strRef>
              <c:f>Grafik!$H$42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Grafik!$B$43:$B$47</c:f>
              <c:strCache/>
            </c:strRef>
          </c:cat>
          <c:val>
            <c:numRef>
              <c:f>Grafik!$H$43:$H$47</c:f>
              <c:numCache/>
            </c:numRef>
          </c:val>
          <c:shape val="box"/>
        </c:ser>
        <c:shape val="box"/>
        <c:axId val="3542405"/>
        <c:axId val="57268974"/>
      </c:bar3DChart>
      <c:catAx>
        <c:axId val="354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Hujan Efektif jam ke -</a:t>
                </a:r>
              </a:p>
            </c:rich>
          </c:tx>
          <c:layout>
            <c:manualLayout>
              <c:xMode val="factor"/>
              <c:yMode val="factor"/>
              <c:x val="-0.185"/>
              <c:y val="0.1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68974"/>
        <c:crosses val="autoZero"/>
        <c:auto val="1"/>
        <c:lblOffset val="100"/>
        <c:tickLblSkip val="1"/>
        <c:noMultiLvlLbl val="0"/>
      </c:catAx>
      <c:valAx>
        <c:axId val="5726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Curah Hujan (mm)</a:t>
                </a:r>
              </a:p>
            </c:rich>
          </c:tx>
          <c:layout>
            <c:manualLayout>
              <c:xMode val="factor"/>
              <c:yMode val="factor"/>
              <c:x val="-0.098"/>
              <c:y val="0.0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55"/>
          <c:y val="0.88225"/>
          <c:w val="0.24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326</xdr:row>
      <xdr:rowOff>28575</xdr:rowOff>
    </xdr:from>
    <xdr:to>
      <xdr:col>10</xdr:col>
      <xdr:colOff>419100</xdr:colOff>
      <xdr:row>326</xdr:row>
      <xdr:rowOff>180975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2998350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285750</xdr:colOff>
      <xdr:row>398</xdr:row>
      <xdr:rowOff>142875</xdr:rowOff>
    </xdr:from>
    <xdr:to>
      <xdr:col>19</xdr:col>
      <xdr:colOff>38100</xdr:colOff>
      <xdr:row>425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rcRect r="13273"/>
        <a:stretch>
          <a:fillRect/>
        </a:stretch>
      </xdr:blipFill>
      <xdr:spPr>
        <a:xfrm>
          <a:off x="9448800" y="76838175"/>
          <a:ext cx="28003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</xdr:row>
      <xdr:rowOff>133350</xdr:rowOff>
    </xdr:from>
    <xdr:to>
      <xdr:col>17</xdr:col>
      <xdr:colOff>542925</xdr:colOff>
      <xdr:row>40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04850"/>
          <a:ext cx="8601075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158</xdr:row>
      <xdr:rowOff>38100</xdr:rowOff>
    </xdr:from>
    <xdr:to>
      <xdr:col>2</xdr:col>
      <xdr:colOff>371475</xdr:colOff>
      <xdr:row>159</xdr:row>
      <xdr:rowOff>190500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30994350"/>
          <a:ext cx="238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276225</xdr:colOff>
      <xdr:row>159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2600" y="30956250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276225</xdr:colOff>
      <xdr:row>159</xdr:row>
      <xdr:rowOff>152400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7450" y="30956250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276225</xdr:colOff>
      <xdr:row>159</xdr:row>
      <xdr:rowOff>152400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30956250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30</xdr:row>
      <xdr:rowOff>133350</xdr:rowOff>
    </xdr:from>
    <xdr:to>
      <xdr:col>14</xdr:col>
      <xdr:colOff>9525</xdr:colOff>
      <xdr:row>41</xdr:row>
      <xdr:rowOff>133350</xdr:rowOff>
    </xdr:to>
    <xdr:pic>
      <xdr:nvPicPr>
        <xdr:cNvPr id="1" name="Picture 3" descr="https://3.bp.blogspot.com/-tuvVoD4vecA/WJrH__naIDI/AAAAAAAABKc/ugDA3ludrF84hnPP0cHNJ4I1q6nw73hbACLcB/s1600/sd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953125"/>
          <a:ext cx="38004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466725</xdr:colOff>
      <xdr:row>17</xdr:row>
      <xdr:rowOff>28575</xdr:rowOff>
    </xdr:from>
    <xdr:to>
      <xdr:col>63</xdr:col>
      <xdr:colOff>200025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22669500" y="3324225"/>
        <a:ext cx="76104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37</xdr:row>
      <xdr:rowOff>76200</xdr:rowOff>
    </xdr:from>
    <xdr:to>
      <xdr:col>7</xdr:col>
      <xdr:colOff>876300</xdr:colOff>
      <xdr:row>46</xdr:row>
      <xdr:rowOff>123825</xdr:rowOff>
    </xdr:to>
    <xdr:sp>
      <xdr:nvSpPr>
        <xdr:cNvPr id="1" name="Right Brace 1"/>
        <xdr:cNvSpPr>
          <a:spLocks/>
        </xdr:cNvSpPr>
      </xdr:nvSpPr>
      <xdr:spPr>
        <a:xfrm>
          <a:off x="6162675" y="6829425"/>
          <a:ext cx="600075" cy="176212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70</xdr:row>
      <xdr:rowOff>161925</xdr:rowOff>
    </xdr:from>
    <xdr:to>
      <xdr:col>38</xdr:col>
      <xdr:colOff>400050</xdr:colOff>
      <xdr:row>89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82300" y="12906375"/>
          <a:ext cx="62484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18</xdr:row>
      <xdr:rowOff>19050</xdr:rowOff>
    </xdr:from>
    <xdr:to>
      <xdr:col>16</xdr:col>
      <xdr:colOff>333375</xdr:colOff>
      <xdr:row>36</xdr:row>
      <xdr:rowOff>76200</xdr:rowOff>
    </xdr:to>
    <xdr:graphicFrame>
      <xdr:nvGraphicFramePr>
        <xdr:cNvPr id="1" name="Chart 4"/>
        <xdr:cNvGraphicFramePr/>
      </xdr:nvGraphicFramePr>
      <xdr:xfrm>
        <a:off x="5010150" y="3448050"/>
        <a:ext cx="60198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0</xdr:row>
      <xdr:rowOff>0</xdr:rowOff>
    </xdr:from>
    <xdr:to>
      <xdr:col>15</xdr:col>
      <xdr:colOff>495300</xdr:colOff>
      <xdr:row>14</xdr:row>
      <xdr:rowOff>104775</xdr:rowOff>
    </xdr:to>
    <xdr:graphicFrame>
      <xdr:nvGraphicFramePr>
        <xdr:cNvPr id="2" name="Chart 7"/>
        <xdr:cNvGraphicFramePr/>
      </xdr:nvGraphicFramePr>
      <xdr:xfrm>
        <a:off x="4448175" y="0"/>
        <a:ext cx="61341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75</xdr:row>
      <xdr:rowOff>104775</xdr:rowOff>
    </xdr:from>
    <xdr:to>
      <xdr:col>22</xdr:col>
      <xdr:colOff>438150</xdr:colOff>
      <xdr:row>97</xdr:row>
      <xdr:rowOff>104775</xdr:rowOff>
    </xdr:to>
    <xdr:graphicFrame>
      <xdr:nvGraphicFramePr>
        <xdr:cNvPr id="3" name="Chart 1"/>
        <xdr:cNvGraphicFramePr/>
      </xdr:nvGraphicFramePr>
      <xdr:xfrm>
        <a:off x="7143750" y="14430375"/>
        <a:ext cx="764857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447675</xdr:colOff>
      <xdr:row>35</xdr:row>
      <xdr:rowOff>85725</xdr:rowOff>
    </xdr:from>
    <xdr:to>
      <xdr:col>17</xdr:col>
      <xdr:colOff>285750</xdr:colOff>
      <xdr:row>49</xdr:row>
      <xdr:rowOff>66675</xdr:rowOff>
    </xdr:to>
    <xdr:graphicFrame>
      <xdr:nvGraphicFramePr>
        <xdr:cNvPr id="4" name="Chart 3"/>
        <xdr:cNvGraphicFramePr/>
      </xdr:nvGraphicFramePr>
      <xdr:xfrm>
        <a:off x="6257925" y="6753225"/>
        <a:ext cx="53340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600075</xdr:colOff>
      <xdr:row>47</xdr:row>
      <xdr:rowOff>95250</xdr:rowOff>
    </xdr:from>
    <xdr:to>
      <xdr:col>15</xdr:col>
      <xdr:colOff>9525</xdr:colOff>
      <xdr:row>48</xdr:row>
      <xdr:rowOff>76200</xdr:rowOff>
    </xdr:to>
    <xdr:sp>
      <xdr:nvSpPr>
        <xdr:cNvPr id="5" name="Double Brace 4"/>
        <xdr:cNvSpPr>
          <a:spLocks/>
        </xdr:cNvSpPr>
      </xdr:nvSpPr>
      <xdr:spPr>
        <a:xfrm>
          <a:off x="7639050" y="9058275"/>
          <a:ext cx="2457450" cy="1809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ma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33"/>
  <sheetViews>
    <sheetView zoomScale="85" zoomScaleNormal="85" zoomScalePageLayoutView="0" workbookViewId="0" topLeftCell="A40">
      <selection activeCell="G50" sqref="G50"/>
    </sheetView>
  </sheetViews>
  <sheetFormatPr defaultColWidth="9.140625" defaultRowHeight="15"/>
  <cols>
    <col min="1" max="1" width="9.140625" style="56" customWidth="1"/>
    <col min="2" max="2" width="4.28125" style="56" customWidth="1"/>
    <col min="3" max="3" width="12.8515625" style="56" customWidth="1"/>
    <col min="4" max="4" width="10.57421875" style="56" customWidth="1"/>
    <col min="5" max="5" width="8.421875" style="56" customWidth="1"/>
    <col min="6" max="6" width="9.28125" style="56" customWidth="1"/>
    <col min="7" max="7" width="9.421875" style="56" customWidth="1"/>
    <col min="8" max="8" width="9.57421875" style="56" bestFit="1" customWidth="1"/>
    <col min="9" max="9" width="15.00390625" style="56" customWidth="1"/>
    <col min="10" max="11" width="8.57421875" style="56" customWidth="1"/>
    <col min="12" max="15" width="10.57421875" style="56" customWidth="1"/>
    <col min="16" max="16" width="6.421875" style="56" customWidth="1"/>
    <col min="17" max="17" width="8.00390625" style="56" customWidth="1"/>
    <col min="18" max="18" width="8.421875" style="56" customWidth="1"/>
    <col min="19" max="22" width="12.28125" style="56" bestFit="1" customWidth="1"/>
    <col min="23" max="16384" width="9.140625" style="56" customWidth="1"/>
  </cols>
  <sheetData>
    <row r="3" spans="2:9" ht="15" customHeight="1">
      <c r="B3" s="172"/>
      <c r="C3" s="171"/>
      <c r="D3" s="172"/>
      <c r="E3" s="172"/>
      <c r="I3" s="56" t="s">
        <v>138</v>
      </c>
    </row>
    <row r="4" spans="2:5" ht="15" customHeight="1">
      <c r="B4" s="172"/>
      <c r="C4" s="171"/>
      <c r="D4" s="172"/>
      <c r="E4" s="172"/>
    </row>
    <row r="5" spans="2:5" ht="15.75" customHeight="1">
      <c r="B5" s="57"/>
      <c r="C5" s="58"/>
      <c r="D5" s="59"/>
      <c r="E5" s="60"/>
    </row>
    <row r="6" spans="2:5" ht="15" customHeight="1">
      <c r="B6" s="57"/>
      <c r="C6" s="58"/>
      <c r="D6" s="59"/>
      <c r="E6" s="60"/>
    </row>
    <row r="7" spans="2:5" ht="15">
      <c r="B7" s="57"/>
      <c r="C7" s="58"/>
      <c r="D7" s="59"/>
      <c r="E7" s="60"/>
    </row>
    <row r="8" spans="2:5" ht="15">
      <c r="B8" s="57"/>
      <c r="C8" s="58"/>
      <c r="D8" s="60"/>
      <c r="E8" s="60"/>
    </row>
    <row r="9" spans="2:5" ht="15">
      <c r="B9" s="57"/>
      <c r="C9" s="58"/>
      <c r="D9" s="60"/>
      <c r="E9" s="60"/>
    </row>
    <row r="10" spans="2:20" ht="15.75">
      <c r="B10" s="57"/>
      <c r="C10" s="58"/>
      <c r="D10" s="59"/>
      <c r="E10" s="60"/>
      <c r="T10" s="62"/>
    </row>
    <row r="11" spans="2:19" ht="15.75">
      <c r="B11" s="57"/>
      <c r="C11" s="58"/>
      <c r="D11" s="59"/>
      <c r="E11" s="60"/>
      <c r="S11" s="62"/>
    </row>
    <row r="12" spans="2:5" ht="15">
      <c r="B12" s="57"/>
      <c r="C12" s="58"/>
      <c r="D12" s="59"/>
      <c r="E12" s="60"/>
    </row>
    <row r="13" spans="2:5" ht="15">
      <c r="B13" s="57"/>
      <c r="C13" s="58"/>
      <c r="D13" s="59"/>
      <c r="E13" s="60"/>
    </row>
    <row r="14" spans="2:5" ht="15">
      <c r="B14" s="57"/>
      <c r="C14" s="58"/>
      <c r="D14" s="59"/>
      <c r="E14" s="63"/>
    </row>
    <row r="15" spans="2:5" ht="15">
      <c r="B15" s="57"/>
      <c r="C15" s="58"/>
      <c r="D15" s="59"/>
      <c r="E15" s="60"/>
    </row>
    <row r="16" spans="2:5" ht="15">
      <c r="B16" s="57"/>
      <c r="C16" s="58"/>
      <c r="D16" s="60"/>
      <c r="E16" s="60"/>
    </row>
    <row r="17" spans="2:5" ht="15">
      <c r="B17" s="57"/>
      <c r="C17" s="58"/>
      <c r="D17" s="60"/>
      <c r="E17" s="60"/>
    </row>
    <row r="18" spans="2:5" ht="15">
      <c r="B18" s="57"/>
      <c r="C18" s="58"/>
      <c r="D18" s="60"/>
      <c r="E18" s="60"/>
    </row>
    <row r="19" spans="2:7" ht="15">
      <c r="B19" s="57"/>
      <c r="C19" s="58"/>
      <c r="D19" s="60"/>
      <c r="E19" s="60"/>
      <c r="F19" s="61"/>
      <c r="G19" s="61"/>
    </row>
    <row r="20" spans="2:7" ht="15">
      <c r="B20" s="57"/>
      <c r="C20" s="64"/>
      <c r="D20" s="60"/>
      <c r="E20" s="60"/>
      <c r="F20" s="65"/>
      <c r="G20" s="61"/>
    </row>
    <row r="21" spans="2:7" ht="15">
      <c r="B21" s="57"/>
      <c r="C21" s="58"/>
      <c r="D21" s="60"/>
      <c r="E21" s="60"/>
      <c r="G21" s="61"/>
    </row>
    <row r="22" spans="2:5" ht="15">
      <c r="B22" s="57"/>
      <c r="C22" s="58"/>
      <c r="D22" s="60"/>
      <c r="E22" s="60"/>
    </row>
    <row r="23" spans="2:5" ht="15">
      <c r="B23" s="57"/>
      <c r="C23" s="58"/>
      <c r="D23" s="60"/>
      <c r="E23" s="60"/>
    </row>
    <row r="24" spans="2:5" ht="15">
      <c r="B24" s="57"/>
      <c r="C24" s="58"/>
      <c r="D24" s="60"/>
      <c r="E24" s="60"/>
    </row>
    <row r="25" spans="2:5" ht="15">
      <c r="B25" s="57"/>
      <c r="C25" s="58"/>
      <c r="D25" s="60"/>
      <c r="E25" s="60"/>
    </row>
    <row r="26" ht="15"/>
    <row r="27" ht="15"/>
    <row r="28" ht="15"/>
    <row r="29" spans="1:6" ht="15">
      <c r="A29" s="604"/>
      <c r="B29" s="604"/>
      <c r="C29" s="604"/>
      <c r="D29" s="604"/>
      <c r="E29" s="604"/>
      <c r="F29" s="604"/>
    </row>
    <row r="30" spans="1:6" ht="15">
      <c r="A30" s="604"/>
      <c r="B30" s="604"/>
      <c r="C30" s="604"/>
      <c r="D30" s="604"/>
      <c r="E30" s="604"/>
      <c r="F30" s="604"/>
    </row>
    <row r="31" spans="1:6" ht="15">
      <c r="A31" s="604"/>
      <c r="B31" s="604"/>
      <c r="C31" s="604"/>
      <c r="D31" s="604"/>
      <c r="E31" s="604"/>
      <c r="F31" s="604"/>
    </row>
    <row r="32" spans="1:6" ht="15">
      <c r="A32" s="604"/>
      <c r="B32" s="604"/>
      <c r="C32" s="604"/>
      <c r="D32" s="604"/>
      <c r="E32" s="604"/>
      <c r="F32" s="604"/>
    </row>
    <row r="33" spans="1:6" ht="15">
      <c r="A33" s="604"/>
      <c r="B33" s="604"/>
      <c r="C33" s="604"/>
      <c r="D33" s="604"/>
      <c r="E33" s="604"/>
      <c r="F33" s="604"/>
    </row>
    <row r="34" spans="1:6" ht="15">
      <c r="A34" s="604"/>
      <c r="B34" s="604"/>
      <c r="C34" s="604"/>
      <c r="D34" s="604"/>
      <c r="E34" s="604"/>
      <c r="F34" s="604"/>
    </row>
    <row r="35" spans="1:6" ht="15">
      <c r="A35" s="604"/>
      <c r="B35" s="604"/>
      <c r="C35" s="604"/>
      <c r="D35" s="604"/>
      <c r="E35" s="604"/>
      <c r="F35" s="604"/>
    </row>
    <row r="36" spans="1:6" ht="15">
      <c r="A36" s="604"/>
      <c r="B36" s="604"/>
      <c r="C36" s="604"/>
      <c r="D36" s="604"/>
      <c r="E36" s="604"/>
      <c r="F36" s="604"/>
    </row>
    <row r="37" spans="1:6" ht="15">
      <c r="A37" s="604"/>
      <c r="B37" s="604"/>
      <c r="C37" s="604"/>
      <c r="D37" s="604"/>
      <c r="E37" s="604"/>
      <c r="F37" s="604"/>
    </row>
    <row r="38" spans="1:6" ht="15">
      <c r="A38" s="604"/>
      <c r="B38" s="604"/>
      <c r="C38" s="604"/>
      <c r="D38" s="604"/>
      <c r="E38" s="604"/>
      <c r="F38" s="604"/>
    </row>
    <row r="39" spans="1:6" ht="15">
      <c r="A39" s="604"/>
      <c r="B39" s="604"/>
      <c r="C39" s="604"/>
      <c r="D39" s="604"/>
      <c r="E39" s="604"/>
      <c r="F39" s="604"/>
    </row>
    <row r="40" spans="1:6" ht="15">
      <c r="A40" s="604"/>
      <c r="B40" s="604"/>
      <c r="C40" s="604"/>
      <c r="D40" s="604"/>
      <c r="E40" s="604"/>
      <c r="F40" s="604"/>
    </row>
    <row r="41" spans="1:6" ht="15">
      <c r="A41" s="604"/>
      <c r="B41" s="604"/>
      <c r="C41" s="604"/>
      <c r="D41" s="604"/>
      <c r="E41" s="604"/>
      <c r="F41" s="604"/>
    </row>
    <row r="42" spans="9:18" ht="15">
      <c r="I42" s="104"/>
      <c r="J42" s="105"/>
      <c r="K42" s="107"/>
      <c r="L42" s="108"/>
      <c r="M42" s="104"/>
      <c r="N42" s="104"/>
      <c r="O42" s="108"/>
      <c r="P42" s="104"/>
      <c r="Q42" s="104"/>
      <c r="R42" s="104"/>
    </row>
    <row r="43" spans="1:18" ht="15">
      <c r="A43" s="56" t="s">
        <v>225</v>
      </c>
      <c r="I43" s="104"/>
      <c r="J43" s="105"/>
      <c r="K43" s="107"/>
      <c r="L43" s="108"/>
      <c r="M43" s="104"/>
      <c r="N43" s="104"/>
      <c r="O43" s="108"/>
      <c r="P43" s="104"/>
      <c r="Q43" s="104"/>
      <c r="R43" s="104"/>
    </row>
    <row r="44" spans="9:18" ht="15">
      <c r="I44" s="104"/>
      <c r="J44" s="105"/>
      <c r="K44" s="107"/>
      <c r="L44" s="108"/>
      <c r="M44" s="104"/>
      <c r="N44" s="104"/>
      <c r="O44" s="108"/>
      <c r="P44" s="104"/>
      <c r="Q44" s="104"/>
      <c r="R44" s="104"/>
    </row>
    <row r="45" spans="2:18" ht="15" customHeight="1">
      <c r="B45" s="300" t="s">
        <v>139</v>
      </c>
      <c r="C45" s="300"/>
      <c r="D45" s="300" t="s">
        <v>140</v>
      </c>
      <c r="E45" s="300"/>
      <c r="H45" s="57"/>
      <c r="I45" s="104"/>
      <c r="J45" s="105"/>
      <c r="K45" s="107"/>
      <c r="L45" s="108"/>
      <c r="M45" s="104"/>
      <c r="N45" s="104"/>
      <c r="O45" s="108"/>
      <c r="P45" s="104"/>
      <c r="Q45" s="104"/>
      <c r="R45" s="104"/>
    </row>
    <row r="46" spans="2:18" ht="15">
      <c r="B46" s="300"/>
      <c r="C46" s="300"/>
      <c r="D46" s="300"/>
      <c r="E46" s="300"/>
      <c r="H46" s="57"/>
      <c r="I46" s="109"/>
      <c r="J46" s="105"/>
      <c r="K46" s="107"/>
      <c r="L46" s="108"/>
      <c r="M46" s="104"/>
      <c r="N46" s="104"/>
      <c r="O46" s="108"/>
      <c r="P46" s="104"/>
      <c r="Q46" s="104"/>
      <c r="R46" s="104"/>
    </row>
    <row r="47" spans="2:18" ht="15">
      <c r="B47" s="605">
        <v>2</v>
      </c>
      <c r="C47" s="605"/>
      <c r="D47" s="606">
        <v>0.3668</v>
      </c>
      <c r="E47" s="606"/>
      <c r="H47" s="57"/>
      <c r="I47" s="109"/>
      <c r="J47" s="105"/>
      <c r="K47" s="107"/>
      <c r="L47" s="108"/>
      <c r="M47" s="104"/>
      <c r="N47" s="104"/>
      <c r="O47" s="108"/>
      <c r="P47" s="104"/>
      <c r="Q47" s="104"/>
      <c r="R47" s="104"/>
    </row>
    <row r="48" spans="2:18" ht="15">
      <c r="B48" s="605">
        <v>5</v>
      </c>
      <c r="C48" s="605"/>
      <c r="D48" s="606">
        <v>1.5004</v>
      </c>
      <c r="E48" s="606"/>
      <c r="H48" s="57"/>
      <c r="I48" s="109"/>
      <c r="J48" s="105"/>
      <c r="K48" s="107"/>
      <c r="L48" s="108"/>
      <c r="M48" s="104"/>
      <c r="N48" s="104"/>
      <c r="O48" s="108"/>
      <c r="P48" s="104"/>
      <c r="Q48" s="104"/>
      <c r="R48" s="104"/>
    </row>
    <row r="49" spans="2:18" ht="15">
      <c r="B49" s="605">
        <v>10</v>
      </c>
      <c r="C49" s="605"/>
      <c r="D49" s="606">
        <v>2.251</v>
      </c>
      <c r="E49" s="606"/>
      <c r="H49" s="57"/>
      <c r="I49" s="109"/>
      <c r="J49" s="105"/>
      <c r="K49" s="107"/>
      <c r="L49" s="108"/>
      <c r="M49" s="104"/>
      <c r="N49" s="104"/>
      <c r="O49" s="108"/>
      <c r="P49" s="104"/>
      <c r="Q49" s="104"/>
      <c r="R49" s="104"/>
    </row>
    <row r="50" spans="2:18" ht="15">
      <c r="B50" s="605">
        <v>15</v>
      </c>
      <c r="C50" s="605"/>
      <c r="D50" s="606">
        <v>2.6109</v>
      </c>
      <c r="E50" s="606"/>
      <c r="H50" s="57"/>
      <c r="I50" s="109"/>
      <c r="J50" s="105"/>
      <c r="K50" s="107"/>
      <c r="L50" s="108"/>
      <c r="M50" s="104"/>
      <c r="N50" s="104"/>
      <c r="O50" s="108"/>
      <c r="P50" s="104"/>
      <c r="Q50" s="104"/>
      <c r="R50" s="104"/>
    </row>
    <row r="51" spans="2:18" ht="15">
      <c r="B51" s="605">
        <v>20</v>
      </c>
      <c r="C51" s="605"/>
      <c r="D51" s="606">
        <v>2.9709</v>
      </c>
      <c r="E51" s="606"/>
      <c r="H51" s="57"/>
      <c r="I51" s="109"/>
      <c r="J51" s="105"/>
      <c r="K51" s="107"/>
      <c r="L51" s="108"/>
      <c r="M51" s="104"/>
      <c r="N51" s="104"/>
      <c r="O51" s="108"/>
      <c r="P51" s="104"/>
      <c r="Q51" s="104"/>
      <c r="R51" s="104"/>
    </row>
    <row r="52" spans="2:18" ht="15">
      <c r="B52" s="605">
        <v>25</v>
      </c>
      <c r="C52" s="605"/>
      <c r="D52" s="606">
        <v>3.1993</v>
      </c>
      <c r="E52" s="606"/>
      <c r="H52" s="57"/>
      <c r="I52" s="109"/>
      <c r="J52" s="105"/>
      <c r="K52" s="107"/>
      <c r="L52" s="108"/>
      <c r="M52" s="104"/>
      <c r="N52" s="104"/>
      <c r="O52" s="108"/>
      <c r="P52" s="104"/>
      <c r="Q52" s="104"/>
      <c r="R52" s="104"/>
    </row>
    <row r="53" spans="2:18" ht="15">
      <c r="B53" s="605">
        <v>50</v>
      </c>
      <c r="C53" s="605"/>
      <c r="D53" s="606">
        <v>3.9028</v>
      </c>
      <c r="E53" s="606"/>
      <c r="H53" s="57"/>
      <c r="I53" s="109"/>
      <c r="J53" s="105"/>
      <c r="K53" s="107"/>
      <c r="L53" s="108"/>
      <c r="M53" s="104"/>
      <c r="N53" s="104"/>
      <c r="O53" s="108"/>
      <c r="P53" s="104"/>
      <c r="Q53" s="104"/>
      <c r="R53" s="104"/>
    </row>
    <row r="54" spans="2:18" ht="15">
      <c r="B54" s="605">
        <v>100</v>
      </c>
      <c r="C54" s="605"/>
      <c r="D54" s="606">
        <v>4.6012</v>
      </c>
      <c r="E54" s="606"/>
      <c r="H54" s="57"/>
      <c r="I54" s="109"/>
      <c r="J54" s="105"/>
      <c r="K54" s="107"/>
      <c r="L54" s="108"/>
      <c r="M54" s="104"/>
      <c r="N54" s="104"/>
      <c r="O54" s="108"/>
      <c r="P54" s="104"/>
      <c r="Q54" s="104"/>
      <c r="R54" s="104"/>
    </row>
    <row r="55" spans="8:18" ht="15">
      <c r="H55" s="57"/>
      <c r="I55" s="109"/>
      <c r="J55" s="105"/>
      <c r="K55" s="107"/>
      <c r="L55" s="108"/>
      <c r="M55" s="104"/>
      <c r="N55" s="104"/>
      <c r="O55" s="108"/>
      <c r="P55" s="104"/>
      <c r="Q55" s="104"/>
      <c r="R55" s="104"/>
    </row>
    <row r="56" spans="1:9" ht="15">
      <c r="A56" s="56" t="s">
        <v>224</v>
      </c>
      <c r="H56" s="57"/>
      <c r="I56" s="98"/>
    </row>
    <row r="57" spans="8:9" ht="15">
      <c r="H57" s="57"/>
      <c r="I57" s="98"/>
    </row>
    <row r="58" spans="1:5" ht="15.75" customHeight="1">
      <c r="A58" s="284" t="s">
        <v>22</v>
      </c>
      <c r="B58" s="286" t="s">
        <v>106</v>
      </c>
      <c r="C58" s="286"/>
      <c r="D58" s="288" t="s">
        <v>60</v>
      </c>
      <c r="E58" s="290" t="s">
        <v>103</v>
      </c>
    </row>
    <row r="59" spans="1:6" ht="15">
      <c r="A59" s="285"/>
      <c r="B59" s="287"/>
      <c r="C59" s="287"/>
      <c r="D59" s="289"/>
      <c r="E59" s="291"/>
      <c r="F59" s="163"/>
    </row>
    <row r="60" spans="1:6" ht="15.75">
      <c r="A60" s="607">
        <v>1</v>
      </c>
      <c r="B60" s="608">
        <v>1001</v>
      </c>
      <c r="C60" s="608"/>
      <c r="D60" s="609">
        <v>0.999</v>
      </c>
      <c r="E60" s="610">
        <v>-3.05</v>
      </c>
      <c r="F60" s="163"/>
    </row>
    <row r="61" spans="1:6" ht="15.75">
      <c r="A61" s="611">
        <v>2</v>
      </c>
      <c r="B61" s="612">
        <v>1005</v>
      </c>
      <c r="C61" s="612"/>
      <c r="D61" s="613">
        <v>0.995</v>
      </c>
      <c r="E61" s="614">
        <v>-2.58</v>
      </c>
      <c r="F61" s="163"/>
    </row>
    <row r="62" spans="1:6" ht="15.75">
      <c r="A62" s="611">
        <v>3</v>
      </c>
      <c r="B62" s="612">
        <v>1010</v>
      </c>
      <c r="C62" s="612"/>
      <c r="D62" s="613">
        <v>0.99</v>
      </c>
      <c r="E62" s="614">
        <v>-2.33</v>
      </c>
      <c r="F62" s="163"/>
    </row>
    <row r="63" spans="1:6" ht="15.75">
      <c r="A63" s="611">
        <v>4</v>
      </c>
      <c r="B63" s="612">
        <v>1050</v>
      </c>
      <c r="C63" s="612"/>
      <c r="D63" s="613">
        <v>0.95</v>
      </c>
      <c r="E63" s="614">
        <v>-1.64</v>
      </c>
      <c r="F63" s="163"/>
    </row>
    <row r="64" spans="1:6" ht="15.75">
      <c r="A64" s="611">
        <v>5</v>
      </c>
      <c r="B64" s="612">
        <v>1110</v>
      </c>
      <c r="C64" s="612"/>
      <c r="D64" s="613">
        <v>0.9</v>
      </c>
      <c r="E64" s="614">
        <v>-1.28</v>
      </c>
      <c r="F64" s="163"/>
    </row>
    <row r="65" spans="1:6" ht="15.75">
      <c r="A65" s="611">
        <v>6</v>
      </c>
      <c r="B65" s="612">
        <v>1250</v>
      </c>
      <c r="C65" s="612"/>
      <c r="D65" s="613">
        <v>0.8</v>
      </c>
      <c r="E65" s="614">
        <v>-0.84</v>
      </c>
      <c r="F65" s="163"/>
    </row>
    <row r="66" spans="1:6" ht="15.75">
      <c r="A66" s="611">
        <v>7</v>
      </c>
      <c r="B66" s="612">
        <v>1330</v>
      </c>
      <c r="C66" s="612"/>
      <c r="D66" s="613">
        <v>0.75</v>
      </c>
      <c r="E66" s="614">
        <v>-0.67</v>
      </c>
      <c r="F66" s="163"/>
    </row>
    <row r="67" spans="1:6" ht="15.75">
      <c r="A67" s="611">
        <v>8</v>
      </c>
      <c r="B67" s="612">
        <v>1430</v>
      </c>
      <c r="C67" s="612"/>
      <c r="D67" s="613">
        <v>0.7</v>
      </c>
      <c r="E67" s="614">
        <v>-0.52</v>
      </c>
      <c r="F67" s="163"/>
    </row>
    <row r="68" spans="1:6" ht="15.75">
      <c r="A68" s="611">
        <v>9</v>
      </c>
      <c r="B68" s="605">
        <v>1670</v>
      </c>
      <c r="C68" s="605"/>
      <c r="D68" s="613">
        <v>0.6</v>
      </c>
      <c r="E68" s="614">
        <v>-0.25</v>
      </c>
      <c r="F68" s="163"/>
    </row>
    <row r="69" spans="1:6" ht="15.75">
      <c r="A69" s="611">
        <v>10</v>
      </c>
      <c r="B69" s="612">
        <v>2000</v>
      </c>
      <c r="C69" s="612"/>
      <c r="D69" s="613">
        <v>0.5</v>
      </c>
      <c r="E69" s="615">
        <v>0</v>
      </c>
      <c r="F69" s="163"/>
    </row>
    <row r="70" spans="1:6" ht="15.75">
      <c r="A70" s="611">
        <v>11</v>
      </c>
      <c r="B70" s="612">
        <v>2500</v>
      </c>
      <c r="C70" s="612"/>
      <c r="D70" s="613">
        <v>0.4</v>
      </c>
      <c r="E70" s="614">
        <v>0.25</v>
      </c>
      <c r="F70" s="163"/>
    </row>
    <row r="71" spans="1:6" ht="15.75">
      <c r="A71" s="611">
        <v>12</v>
      </c>
      <c r="B71" s="612">
        <v>3300</v>
      </c>
      <c r="C71" s="612"/>
      <c r="D71" s="613">
        <v>0.3</v>
      </c>
      <c r="E71" s="614">
        <v>0.52</v>
      </c>
      <c r="F71" s="163"/>
    </row>
    <row r="72" spans="1:6" ht="15.75">
      <c r="A72" s="611">
        <v>13</v>
      </c>
      <c r="B72" s="612">
        <v>4000</v>
      </c>
      <c r="C72" s="612"/>
      <c r="D72" s="613">
        <v>0.25</v>
      </c>
      <c r="E72" s="614">
        <v>0.67</v>
      </c>
      <c r="F72" s="163"/>
    </row>
    <row r="73" spans="1:6" ht="15.75">
      <c r="A73" s="611">
        <v>14</v>
      </c>
      <c r="B73" s="612">
        <v>5000</v>
      </c>
      <c r="C73" s="612"/>
      <c r="D73" s="613">
        <v>0.2</v>
      </c>
      <c r="E73" s="615">
        <v>0.84</v>
      </c>
      <c r="F73" s="163"/>
    </row>
    <row r="74" spans="1:6" ht="15.75">
      <c r="A74" s="611">
        <v>15</v>
      </c>
      <c r="B74" s="612">
        <v>10000</v>
      </c>
      <c r="C74" s="612"/>
      <c r="D74" s="613">
        <v>0.1</v>
      </c>
      <c r="E74" s="615">
        <v>1.28</v>
      </c>
      <c r="F74" s="163"/>
    </row>
    <row r="75" spans="1:7" ht="15.75">
      <c r="A75" s="611">
        <v>16</v>
      </c>
      <c r="B75" s="612">
        <v>20000</v>
      </c>
      <c r="C75" s="612"/>
      <c r="D75" s="613">
        <v>0.05</v>
      </c>
      <c r="E75" s="615">
        <v>1.64</v>
      </c>
      <c r="F75" s="170" t="s">
        <v>223</v>
      </c>
      <c r="G75" s="174">
        <v>1.708</v>
      </c>
    </row>
    <row r="76" spans="1:6" ht="15.75">
      <c r="A76" s="611">
        <v>17</v>
      </c>
      <c r="B76" s="612">
        <v>50000</v>
      </c>
      <c r="C76" s="612"/>
      <c r="D76" s="613">
        <v>0.02</v>
      </c>
      <c r="E76" s="615">
        <v>2.05</v>
      </c>
      <c r="F76" s="163"/>
    </row>
    <row r="77" spans="1:6" ht="15.75">
      <c r="A77" s="611">
        <v>18</v>
      </c>
      <c r="B77" s="612">
        <v>100000</v>
      </c>
      <c r="C77" s="612"/>
      <c r="D77" s="613">
        <v>0.01</v>
      </c>
      <c r="E77" s="615">
        <v>2.33</v>
      </c>
      <c r="F77" s="163"/>
    </row>
    <row r="78" spans="1:6" ht="15.75">
      <c r="A78" s="611">
        <v>19</v>
      </c>
      <c r="B78" s="612">
        <v>200000</v>
      </c>
      <c r="C78" s="612"/>
      <c r="D78" s="613">
        <v>0.005</v>
      </c>
      <c r="E78" s="614">
        <v>2.58</v>
      </c>
      <c r="F78" s="163"/>
    </row>
    <row r="79" spans="1:6" ht="15.75">
      <c r="A79" s="611">
        <v>20</v>
      </c>
      <c r="B79" s="612">
        <v>500000</v>
      </c>
      <c r="C79" s="612"/>
      <c r="D79" s="613">
        <v>0.002</v>
      </c>
      <c r="E79" s="614">
        <v>2.88</v>
      </c>
      <c r="F79" s="163"/>
    </row>
    <row r="80" spans="1:6" ht="15.75">
      <c r="A80" s="616">
        <v>21</v>
      </c>
      <c r="B80" s="617">
        <v>1000000</v>
      </c>
      <c r="C80" s="617"/>
      <c r="D80" s="618">
        <v>0.001</v>
      </c>
      <c r="E80" s="619">
        <v>3.09</v>
      </c>
      <c r="F80" s="163"/>
    </row>
    <row r="81" spans="1:6" ht="15">
      <c r="A81" s="163"/>
      <c r="B81" s="163"/>
      <c r="C81" s="163"/>
      <c r="D81" s="169"/>
      <c r="E81" s="163"/>
      <c r="F81" s="163"/>
    </row>
    <row r="82" ht="15">
      <c r="A82" s="56" t="s">
        <v>180</v>
      </c>
    </row>
    <row r="83" spans="1:14" ht="16.5" customHeight="1">
      <c r="A83" s="620" t="s">
        <v>24</v>
      </c>
      <c r="B83" s="621">
        <v>0</v>
      </c>
      <c r="C83" s="621"/>
      <c r="D83" s="622">
        <v>1</v>
      </c>
      <c r="E83" s="621">
        <v>2</v>
      </c>
      <c r="F83" s="621"/>
      <c r="G83" s="623">
        <v>3</v>
      </c>
      <c r="H83" s="623">
        <v>4</v>
      </c>
      <c r="I83" s="623">
        <v>5</v>
      </c>
      <c r="J83" s="623">
        <v>6</v>
      </c>
      <c r="K83" s="621">
        <v>7</v>
      </c>
      <c r="L83" s="621"/>
      <c r="M83" s="623">
        <v>8</v>
      </c>
      <c r="N83" s="624">
        <v>9</v>
      </c>
    </row>
    <row r="84" spans="1:14" ht="15">
      <c r="A84" s="625">
        <v>10</v>
      </c>
      <c r="B84" s="626">
        <v>0.4952</v>
      </c>
      <c r="C84" s="626"/>
      <c r="D84" s="532">
        <v>0.4996</v>
      </c>
      <c r="E84" s="410">
        <v>0.5035</v>
      </c>
      <c r="F84" s="410"/>
      <c r="G84" s="532">
        <v>0.507</v>
      </c>
      <c r="H84" s="532">
        <v>0.51</v>
      </c>
      <c r="I84" s="532">
        <v>0.5128</v>
      </c>
      <c r="J84" s="532">
        <v>0.5157</v>
      </c>
      <c r="K84" s="410">
        <v>0.5181</v>
      </c>
      <c r="L84" s="410"/>
      <c r="M84" s="532">
        <v>0.5202</v>
      </c>
      <c r="N84" s="533">
        <v>0.522</v>
      </c>
    </row>
    <row r="85" spans="1:14" ht="15">
      <c r="A85" s="625">
        <v>20</v>
      </c>
      <c r="B85" s="410">
        <v>0.5236</v>
      </c>
      <c r="C85" s="410"/>
      <c r="D85" s="532">
        <v>0.5252</v>
      </c>
      <c r="E85" s="410">
        <v>0.5268</v>
      </c>
      <c r="F85" s="410"/>
      <c r="G85" s="532">
        <v>0.5283</v>
      </c>
      <c r="H85" s="532">
        <v>0.5296</v>
      </c>
      <c r="I85" s="532">
        <v>0.53</v>
      </c>
      <c r="J85" s="532">
        <v>0.582</v>
      </c>
      <c r="K85" s="410">
        <v>0.5882</v>
      </c>
      <c r="L85" s="410"/>
      <c r="M85" s="532">
        <v>0.5343</v>
      </c>
      <c r="N85" s="533">
        <v>0.5353</v>
      </c>
    </row>
    <row r="86" spans="1:14" ht="15">
      <c r="A86" s="625">
        <v>30</v>
      </c>
      <c r="B86" s="410">
        <v>0.5363</v>
      </c>
      <c r="C86" s="410"/>
      <c r="D86" s="532">
        <v>0.5371</v>
      </c>
      <c r="E86" s="410">
        <v>0.538</v>
      </c>
      <c r="F86" s="410"/>
      <c r="G86" s="532">
        <v>0.5388</v>
      </c>
      <c r="H86" s="532">
        <v>0.5396</v>
      </c>
      <c r="I86" s="532">
        <v>0.54</v>
      </c>
      <c r="J86" s="532">
        <v>0.541</v>
      </c>
      <c r="K86" s="410">
        <v>0.5418</v>
      </c>
      <c r="L86" s="410"/>
      <c r="M86" s="532">
        <v>0.5424</v>
      </c>
      <c r="N86" s="533">
        <v>0.543</v>
      </c>
    </row>
    <row r="87" spans="1:14" ht="15">
      <c r="A87" s="625">
        <v>40</v>
      </c>
      <c r="B87" s="410">
        <v>0.5463</v>
      </c>
      <c r="C87" s="410"/>
      <c r="D87" s="532">
        <v>0.5442</v>
      </c>
      <c r="E87" s="410">
        <v>0.5448</v>
      </c>
      <c r="F87" s="410"/>
      <c r="G87" s="532">
        <v>0.5453</v>
      </c>
      <c r="H87" s="532">
        <v>0.5458</v>
      </c>
      <c r="I87" s="532">
        <v>0.5468</v>
      </c>
      <c r="J87" s="532">
        <v>0.5468</v>
      </c>
      <c r="K87" s="410">
        <v>0.5473</v>
      </c>
      <c r="L87" s="410"/>
      <c r="M87" s="532">
        <v>0.5477</v>
      </c>
      <c r="N87" s="533">
        <v>0.5481</v>
      </c>
    </row>
    <row r="88" spans="1:14" ht="15">
      <c r="A88" s="625">
        <v>50</v>
      </c>
      <c r="B88" s="410">
        <v>0.5485</v>
      </c>
      <c r="C88" s="410"/>
      <c r="D88" s="532">
        <v>0.5489</v>
      </c>
      <c r="E88" s="410">
        <v>0.5493</v>
      </c>
      <c r="F88" s="410"/>
      <c r="G88" s="532">
        <v>0.5497</v>
      </c>
      <c r="H88" s="532">
        <v>0.5501</v>
      </c>
      <c r="I88" s="532">
        <v>0.5504</v>
      </c>
      <c r="J88" s="532">
        <v>0.5508</v>
      </c>
      <c r="K88" s="410">
        <v>0.5511</v>
      </c>
      <c r="L88" s="410"/>
      <c r="M88" s="532">
        <v>0.5515</v>
      </c>
      <c r="N88" s="533">
        <v>0.5518</v>
      </c>
    </row>
    <row r="89" spans="1:14" ht="15">
      <c r="A89" s="625">
        <v>60</v>
      </c>
      <c r="B89" s="410">
        <v>0.5521</v>
      </c>
      <c r="C89" s="410"/>
      <c r="D89" s="532">
        <v>0.5524</v>
      </c>
      <c r="E89" s="410">
        <v>0.5527</v>
      </c>
      <c r="F89" s="410"/>
      <c r="G89" s="532">
        <v>0.553</v>
      </c>
      <c r="H89" s="532">
        <v>0.5533</v>
      </c>
      <c r="I89" s="532">
        <v>0.5535</v>
      </c>
      <c r="J89" s="532">
        <v>0.5538</v>
      </c>
      <c r="K89" s="410">
        <v>0.554</v>
      </c>
      <c r="L89" s="410"/>
      <c r="M89" s="532">
        <v>0.5543</v>
      </c>
      <c r="N89" s="533">
        <v>0.5545</v>
      </c>
    </row>
    <row r="90" spans="1:14" ht="15">
      <c r="A90" s="625">
        <v>70</v>
      </c>
      <c r="B90" s="410">
        <v>0.5548</v>
      </c>
      <c r="C90" s="410"/>
      <c r="D90" s="532">
        <v>0.555</v>
      </c>
      <c r="E90" s="410">
        <v>0.5552</v>
      </c>
      <c r="F90" s="410"/>
      <c r="G90" s="532">
        <v>0.5555</v>
      </c>
      <c r="H90" s="532">
        <v>0.5557</v>
      </c>
      <c r="I90" s="532">
        <v>0.5559</v>
      </c>
      <c r="J90" s="532">
        <v>0.5561</v>
      </c>
      <c r="K90" s="410">
        <v>0.5563</v>
      </c>
      <c r="L90" s="410"/>
      <c r="M90" s="532">
        <v>0.5565</v>
      </c>
      <c r="N90" s="533">
        <v>0.5567</v>
      </c>
    </row>
    <row r="91" spans="1:14" ht="15">
      <c r="A91" s="625">
        <v>80</v>
      </c>
      <c r="B91" s="410">
        <v>0.5569</v>
      </c>
      <c r="C91" s="410"/>
      <c r="D91" s="532">
        <v>0.557</v>
      </c>
      <c r="E91" s="410">
        <v>0.5572</v>
      </c>
      <c r="F91" s="410"/>
      <c r="G91" s="532">
        <v>0.5574</v>
      </c>
      <c r="H91" s="532">
        <v>0.5576</v>
      </c>
      <c r="I91" s="532">
        <v>0.5578</v>
      </c>
      <c r="J91" s="532">
        <v>0.558</v>
      </c>
      <c r="K91" s="410">
        <v>0.5581</v>
      </c>
      <c r="L91" s="410"/>
      <c r="M91" s="532">
        <v>0.5583</v>
      </c>
      <c r="N91" s="533">
        <v>0.5585</v>
      </c>
    </row>
    <row r="92" spans="1:14" ht="15">
      <c r="A92" s="625">
        <v>90</v>
      </c>
      <c r="B92" s="410">
        <v>0.5586</v>
      </c>
      <c r="C92" s="410"/>
      <c r="D92" s="532">
        <v>0.5587</v>
      </c>
      <c r="E92" s="410">
        <v>0.5589</v>
      </c>
      <c r="F92" s="410"/>
      <c r="G92" s="532">
        <v>0.5591</v>
      </c>
      <c r="H92" s="532">
        <v>0.5592</v>
      </c>
      <c r="I92" s="532">
        <v>0.5593</v>
      </c>
      <c r="J92" s="532">
        <v>0.5595</v>
      </c>
      <c r="K92" s="410">
        <v>0.5596</v>
      </c>
      <c r="L92" s="410"/>
      <c r="M92" s="532">
        <v>0.8898</v>
      </c>
      <c r="N92" s="533">
        <v>0.5599</v>
      </c>
    </row>
    <row r="93" spans="1:14" ht="15">
      <c r="A93" s="627">
        <v>100</v>
      </c>
      <c r="B93" s="628">
        <v>0.56</v>
      </c>
      <c r="C93" s="628"/>
      <c r="D93" s="534">
        <v>0.5602</v>
      </c>
      <c r="E93" s="628">
        <v>0.5603</v>
      </c>
      <c r="F93" s="628"/>
      <c r="G93" s="534">
        <v>0.5604</v>
      </c>
      <c r="H93" s="534">
        <v>0.5606</v>
      </c>
      <c r="I93" s="534">
        <v>0.5607</v>
      </c>
      <c r="J93" s="534">
        <v>0.5608</v>
      </c>
      <c r="K93" s="628">
        <v>0.5609</v>
      </c>
      <c r="L93" s="628"/>
      <c r="M93" s="534">
        <v>0.561</v>
      </c>
      <c r="N93" s="535">
        <v>0.5611</v>
      </c>
    </row>
    <row r="95" ht="15">
      <c r="A95" s="56" t="s">
        <v>181</v>
      </c>
    </row>
    <row r="96" ht="15.75" thickBot="1"/>
    <row r="97" spans="1:12" ht="15.75" customHeight="1" thickBot="1">
      <c r="A97" s="629" t="s">
        <v>24</v>
      </c>
      <c r="B97" s="630">
        <v>0</v>
      </c>
      <c r="C97" s="630"/>
      <c r="D97" s="629">
        <v>1</v>
      </c>
      <c r="E97" s="629">
        <v>2</v>
      </c>
      <c r="F97" s="629">
        <v>3</v>
      </c>
      <c r="G97" s="629">
        <v>4</v>
      </c>
      <c r="H97" s="629">
        <v>5</v>
      </c>
      <c r="I97" s="629">
        <v>6</v>
      </c>
      <c r="J97" s="629">
        <v>7</v>
      </c>
      <c r="K97" s="629">
        <v>8</v>
      </c>
      <c r="L97" s="629">
        <v>9</v>
      </c>
    </row>
    <row r="98" spans="1:12" ht="15.75" customHeight="1" thickBot="1">
      <c r="A98" s="631">
        <v>10</v>
      </c>
      <c r="B98" s="632">
        <v>0.9496</v>
      </c>
      <c r="C98" s="632"/>
      <c r="D98" s="633">
        <v>0.9676</v>
      </c>
      <c r="E98" s="633">
        <v>0.9833</v>
      </c>
      <c r="F98" s="633">
        <v>0.9971</v>
      </c>
      <c r="G98" s="634">
        <v>10095</v>
      </c>
      <c r="H98" s="634">
        <v>10206</v>
      </c>
      <c r="I98" s="634">
        <v>10316</v>
      </c>
      <c r="J98" s="634">
        <v>10411</v>
      </c>
      <c r="K98" s="634">
        <v>10493</v>
      </c>
      <c r="L98" s="634">
        <v>10565</v>
      </c>
    </row>
    <row r="99" spans="1:12" ht="15.75" customHeight="1" thickBot="1">
      <c r="A99" s="536">
        <v>20</v>
      </c>
      <c r="B99" s="635">
        <v>10628</v>
      </c>
      <c r="C99" s="635"/>
      <c r="D99" s="636">
        <v>10696</v>
      </c>
      <c r="E99" s="636">
        <v>10754</v>
      </c>
      <c r="F99" s="636">
        <v>10811</v>
      </c>
      <c r="G99" s="636">
        <v>10864</v>
      </c>
      <c r="H99" s="636">
        <v>10915</v>
      </c>
      <c r="I99" s="636">
        <v>10916</v>
      </c>
      <c r="J99" s="636">
        <v>11004</v>
      </c>
      <c r="K99" s="636">
        <v>11047</v>
      </c>
      <c r="L99" s="636">
        <v>11080</v>
      </c>
    </row>
    <row r="100" spans="1:12" ht="15.75" customHeight="1" thickBot="1">
      <c r="A100" s="629">
        <v>30</v>
      </c>
      <c r="B100" s="635">
        <v>11124</v>
      </c>
      <c r="C100" s="635"/>
      <c r="D100" s="637">
        <v>11159</v>
      </c>
      <c r="E100" s="637">
        <v>11193</v>
      </c>
      <c r="F100" s="637">
        <v>11226</v>
      </c>
      <c r="G100" s="637">
        <v>11255</v>
      </c>
      <c r="H100" s="637">
        <v>11285</v>
      </c>
      <c r="I100" s="637">
        <v>11313</v>
      </c>
      <c r="J100" s="637">
        <v>11339</v>
      </c>
      <c r="K100" s="637">
        <v>11363</v>
      </c>
      <c r="L100" s="637">
        <v>11388</v>
      </c>
    </row>
    <row r="101" spans="1:12" ht="15.75" customHeight="1" thickBot="1">
      <c r="A101" s="536">
        <v>40</v>
      </c>
      <c r="B101" s="635">
        <v>11413</v>
      </c>
      <c r="C101" s="635"/>
      <c r="D101" s="636">
        <v>11436</v>
      </c>
      <c r="E101" s="636">
        <v>11458</v>
      </c>
      <c r="F101" s="636">
        <v>11480</v>
      </c>
      <c r="G101" s="636">
        <v>11499</v>
      </c>
      <c r="H101" s="636">
        <v>11519</v>
      </c>
      <c r="I101" s="636">
        <v>11538</v>
      </c>
      <c r="J101" s="636">
        <v>11557</v>
      </c>
      <c r="K101" s="636">
        <v>11574</v>
      </c>
      <c r="L101" s="636">
        <v>11590</v>
      </c>
    </row>
    <row r="102" spans="1:12" ht="15.75" customHeight="1" thickBot="1">
      <c r="A102" s="629">
        <v>50</v>
      </c>
      <c r="B102" s="635">
        <v>11607</v>
      </c>
      <c r="C102" s="635"/>
      <c r="D102" s="637">
        <v>11623</v>
      </c>
      <c r="E102" s="637">
        <v>11638</v>
      </c>
      <c r="F102" s="637">
        <v>11658</v>
      </c>
      <c r="G102" s="637">
        <v>11667</v>
      </c>
      <c r="H102" s="637">
        <v>11681</v>
      </c>
      <c r="I102" s="637">
        <v>11696</v>
      </c>
      <c r="J102" s="637">
        <v>11708</v>
      </c>
      <c r="K102" s="637">
        <v>11721</v>
      </c>
      <c r="L102" s="637">
        <v>11734</v>
      </c>
    </row>
    <row r="103" spans="1:12" ht="15.75" customHeight="1" thickBot="1">
      <c r="A103" s="536">
        <v>60</v>
      </c>
      <c r="B103" s="635">
        <v>11747</v>
      </c>
      <c r="C103" s="635"/>
      <c r="D103" s="636">
        <v>11759</v>
      </c>
      <c r="E103" s="636">
        <v>11770</v>
      </c>
      <c r="F103" s="636">
        <v>11782</v>
      </c>
      <c r="G103" s="636">
        <v>11793</v>
      </c>
      <c r="H103" s="636">
        <v>11803</v>
      </c>
      <c r="I103" s="636">
        <v>11814</v>
      </c>
      <c r="J103" s="636">
        <v>11824</v>
      </c>
      <c r="K103" s="636">
        <v>11834</v>
      </c>
      <c r="L103" s="636">
        <v>11844</v>
      </c>
    </row>
    <row r="104" spans="1:12" ht="15.75" customHeight="1" thickBot="1">
      <c r="A104" s="629">
        <v>70</v>
      </c>
      <c r="B104" s="635">
        <v>11854</v>
      </c>
      <c r="C104" s="635"/>
      <c r="D104" s="637">
        <v>11863</v>
      </c>
      <c r="E104" s="637">
        <v>11873</v>
      </c>
      <c r="F104" s="637">
        <v>11881</v>
      </c>
      <c r="G104" s="637">
        <v>11890</v>
      </c>
      <c r="H104" s="637">
        <v>11898</v>
      </c>
      <c r="I104" s="637">
        <v>11906</v>
      </c>
      <c r="J104" s="637">
        <v>11915</v>
      </c>
      <c r="K104" s="637">
        <v>11923</v>
      </c>
      <c r="L104" s="637">
        <v>11930</v>
      </c>
    </row>
    <row r="105" spans="1:12" ht="15.75" customHeight="1" thickBot="1">
      <c r="A105" s="536">
        <v>80</v>
      </c>
      <c r="B105" s="635">
        <v>11938</v>
      </c>
      <c r="C105" s="635"/>
      <c r="D105" s="636">
        <v>11945</v>
      </c>
      <c r="E105" s="636">
        <v>11953</v>
      </c>
      <c r="F105" s="636">
        <v>11959</v>
      </c>
      <c r="G105" s="636">
        <v>11967</v>
      </c>
      <c r="H105" s="636">
        <v>11973</v>
      </c>
      <c r="I105" s="636">
        <v>11980</v>
      </c>
      <c r="J105" s="636">
        <v>11987</v>
      </c>
      <c r="K105" s="636">
        <v>11994</v>
      </c>
      <c r="L105" s="636">
        <v>12001</v>
      </c>
    </row>
    <row r="106" spans="1:12" ht="15.75" customHeight="1" thickBot="1">
      <c r="A106" s="629">
        <v>90</v>
      </c>
      <c r="B106" s="635">
        <v>12007</v>
      </c>
      <c r="C106" s="635"/>
      <c r="D106" s="637">
        <v>12013</v>
      </c>
      <c r="E106" s="637">
        <v>12020</v>
      </c>
      <c r="F106" s="637">
        <v>12026</v>
      </c>
      <c r="G106" s="637">
        <v>12032</v>
      </c>
      <c r="H106" s="637">
        <v>12038</v>
      </c>
      <c r="I106" s="637">
        <v>12044</v>
      </c>
      <c r="J106" s="637">
        <v>12049</v>
      </c>
      <c r="K106" s="637">
        <v>12055</v>
      </c>
      <c r="L106" s="637">
        <v>12060</v>
      </c>
    </row>
    <row r="107" spans="1:12" ht="15.75" customHeight="1" thickBot="1">
      <c r="A107" s="631">
        <v>100</v>
      </c>
      <c r="B107" s="635">
        <v>12065</v>
      </c>
      <c r="C107" s="635"/>
      <c r="D107" s="634">
        <v>12069</v>
      </c>
      <c r="E107" s="634">
        <v>12073</v>
      </c>
      <c r="F107" s="634">
        <v>12077</v>
      </c>
      <c r="G107" s="634">
        <v>12081</v>
      </c>
      <c r="H107" s="634">
        <v>12084</v>
      </c>
      <c r="I107" s="634">
        <v>12087</v>
      </c>
      <c r="J107" s="634">
        <v>12090</v>
      </c>
      <c r="K107" s="634">
        <v>12093</v>
      </c>
      <c r="L107" s="634">
        <v>12096</v>
      </c>
    </row>
    <row r="108" spans="2:6" ht="15.75" customHeight="1">
      <c r="B108" s="145"/>
      <c r="C108" s="145"/>
      <c r="D108" s="145"/>
      <c r="E108" s="145"/>
      <c r="F108" s="145"/>
    </row>
    <row r="109" spans="1:6" ht="15.75" customHeight="1">
      <c r="A109" s="56" t="s">
        <v>183</v>
      </c>
      <c r="B109" s="145"/>
      <c r="C109" s="145"/>
      <c r="D109" s="145"/>
      <c r="E109" s="145"/>
      <c r="F109" s="145"/>
    </row>
    <row r="110" spans="2:6" ht="15.75" customHeight="1">
      <c r="B110" s="145"/>
      <c r="C110" s="145"/>
      <c r="D110" s="145"/>
      <c r="E110" s="145"/>
      <c r="F110" s="145"/>
    </row>
    <row r="111" spans="1:10" ht="15.75" customHeight="1">
      <c r="A111" s="638" t="s">
        <v>184</v>
      </c>
      <c r="B111" s="638" t="s">
        <v>185</v>
      </c>
      <c r="C111" s="638"/>
      <c r="D111" s="638"/>
      <c r="E111" s="638"/>
      <c r="F111" s="638"/>
      <c r="G111" s="638"/>
      <c r="H111" s="638"/>
      <c r="I111" s="638"/>
      <c r="J111" s="638"/>
    </row>
    <row r="112" spans="1:10" ht="15.75" customHeight="1">
      <c r="A112" s="638"/>
      <c r="B112" s="639">
        <v>0.995</v>
      </c>
      <c r="C112" s="639"/>
      <c r="D112" s="640">
        <v>0.99</v>
      </c>
      <c r="E112" s="640">
        <v>0.975</v>
      </c>
      <c r="F112" s="640">
        <v>0.95</v>
      </c>
      <c r="G112" s="641">
        <v>0.05</v>
      </c>
      <c r="H112" s="640">
        <v>0.025</v>
      </c>
      <c r="I112" s="640">
        <v>0.01</v>
      </c>
      <c r="J112" s="640">
        <v>0.005</v>
      </c>
    </row>
    <row r="113" spans="1:10" ht="15.75" customHeight="1">
      <c r="A113" s="642">
        <v>1</v>
      </c>
      <c r="B113" s="643">
        <v>0.0393</v>
      </c>
      <c r="C113" s="643"/>
      <c r="D113" s="642">
        <v>0.016</v>
      </c>
      <c r="E113" s="642">
        <v>0.0982</v>
      </c>
      <c r="F113" s="642">
        <v>0.393</v>
      </c>
      <c r="G113" s="644">
        <v>3841</v>
      </c>
      <c r="H113" s="644">
        <v>5024</v>
      </c>
      <c r="I113" s="644">
        <v>6635</v>
      </c>
      <c r="J113" s="644">
        <v>7879</v>
      </c>
    </row>
    <row r="114" spans="1:10" ht="15.75" customHeight="1">
      <c r="A114" s="645">
        <v>2</v>
      </c>
      <c r="B114" s="646">
        <v>0.1</v>
      </c>
      <c r="C114" s="646"/>
      <c r="D114" s="642">
        <v>0.0201</v>
      </c>
      <c r="E114" s="642">
        <v>0.0506</v>
      </c>
      <c r="F114" s="642">
        <v>0.103</v>
      </c>
      <c r="G114" s="647">
        <v>5.991</v>
      </c>
      <c r="H114" s="644">
        <v>7378</v>
      </c>
      <c r="I114" s="644">
        <v>9210</v>
      </c>
      <c r="J114" s="644">
        <v>10597</v>
      </c>
    </row>
    <row r="115" spans="1:10" ht="15.75" customHeight="1">
      <c r="A115" s="642">
        <v>3</v>
      </c>
      <c r="B115" s="643">
        <v>0.717</v>
      </c>
      <c r="C115" s="643"/>
      <c r="D115" s="642">
        <v>0.115</v>
      </c>
      <c r="E115" s="642">
        <v>0.216</v>
      </c>
      <c r="F115" s="642">
        <v>0.352</v>
      </c>
      <c r="G115" s="644">
        <v>7815</v>
      </c>
      <c r="H115" s="644">
        <v>9348</v>
      </c>
      <c r="I115" s="644">
        <v>11345</v>
      </c>
      <c r="J115" s="644">
        <v>12838</v>
      </c>
    </row>
    <row r="116" spans="1:10" ht="15.75" customHeight="1">
      <c r="A116" s="642">
        <v>4</v>
      </c>
      <c r="B116" s="643">
        <v>0.207</v>
      </c>
      <c r="C116" s="643"/>
      <c r="D116" s="642">
        <v>0.297</v>
      </c>
      <c r="E116" s="642">
        <v>0.484</v>
      </c>
      <c r="F116" s="642">
        <v>0.711</v>
      </c>
      <c r="G116" s="644">
        <v>9488</v>
      </c>
      <c r="H116" s="644">
        <v>11143</v>
      </c>
      <c r="I116" s="644">
        <v>13277</v>
      </c>
      <c r="J116" s="644">
        <v>14860</v>
      </c>
    </row>
    <row r="117" spans="1:10" ht="15.75" customHeight="1">
      <c r="A117" s="642">
        <v>5</v>
      </c>
      <c r="B117" s="643">
        <v>0.412</v>
      </c>
      <c r="C117" s="643"/>
      <c r="D117" s="642">
        <v>0.554</v>
      </c>
      <c r="E117" s="642">
        <v>0.831</v>
      </c>
      <c r="F117" s="644">
        <v>1145</v>
      </c>
      <c r="G117" s="644">
        <v>11070</v>
      </c>
      <c r="H117" s="644">
        <v>12832</v>
      </c>
      <c r="I117" s="644">
        <v>15086</v>
      </c>
      <c r="J117" s="644">
        <v>16705</v>
      </c>
    </row>
    <row r="118" spans="1:10" ht="15.75" customHeight="1">
      <c r="A118" s="642">
        <v>6</v>
      </c>
      <c r="B118" s="643">
        <v>0.676</v>
      </c>
      <c r="C118" s="643"/>
      <c r="D118" s="642">
        <v>0.872</v>
      </c>
      <c r="E118" s="644">
        <v>1237</v>
      </c>
      <c r="F118" s="644">
        <v>1635</v>
      </c>
      <c r="G118" s="644">
        <v>12592</v>
      </c>
      <c r="H118" s="644">
        <v>14449</v>
      </c>
      <c r="I118" s="644">
        <v>18812</v>
      </c>
      <c r="J118" s="644">
        <v>18548</v>
      </c>
    </row>
    <row r="119" spans="1:10" ht="15.75" customHeight="1">
      <c r="A119" s="642">
        <v>7</v>
      </c>
      <c r="B119" s="643">
        <v>0.989</v>
      </c>
      <c r="C119" s="643"/>
      <c r="D119" s="644">
        <v>1239</v>
      </c>
      <c r="E119" s="644">
        <v>1690</v>
      </c>
      <c r="F119" s="644">
        <v>2167</v>
      </c>
      <c r="G119" s="644">
        <v>14067</v>
      </c>
      <c r="H119" s="644">
        <v>16013</v>
      </c>
      <c r="I119" s="644">
        <v>18475</v>
      </c>
      <c r="J119" s="644">
        <v>20278</v>
      </c>
    </row>
    <row r="120" spans="1:10" ht="15.75" customHeight="1">
      <c r="A120" s="642">
        <v>8</v>
      </c>
      <c r="B120" s="648">
        <v>1344</v>
      </c>
      <c r="C120" s="648"/>
      <c r="D120" s="644">
        <v>1646</v>
      </c>
      <c r="E120" s="644">
        <v>2180</v>
      </c>
      <c r="F120" s="644">
        <v>2733</v>
      </c>
      <c r="G120" s="644">
        <v>15507</v>
      </c>
      <c r="H120" s="644">
        <v>17535</v>
      </c>
      <c r="I120" s="644">
        <v>20090</v>
      </c>
      <c r="J120" s="644">
        <v>21955</v>
      </c>
    </row>
    <row r="121" spans="1:10" ht="15.75" customHeight="1">
      <c r="A121" s="642">
        <v>9</v>
      </c>
      <c r="B121" s="648">
        <v>1735</v>
      </c>
      <c r="C121" s="648"/>
      <c r="D121" s="644">
        <v>2088</v>
      </c>
      <c r="E121" s="644">
        <v>2700</v>
      </c>
      <c r="F121" s="644">
        <v>3325</v>
      </c>
      <c r="G121" s="644">
        <v>16919</v>
      </c>
      <c r="H121" s="644">
        <v>19023</v>
      </c>
      <c r="I121" s="644">
        <v>21666</v>
      </c>
      <c r="J121" s="644">
        <v>23589</v>
      </c>
    </row>
    <row r="122" spans="1:10" ht="15.75" customHeight="1">
      <c r="A122" s="642">
        <v>10</v>
      </c>
      <c r="B122" s="648">
        <v>2156</v>
      </c>
      <c r="C122" s="648"/>
      <c r="D122" s="644">
        <v>2558</v>
      </c>
      <c r="E122" s="644">
        <v>3247</v>
      </c>
      <c r="F122" s="644">
        <v>3940</v>
      </c>
      <c r="G122" s="644">
        <v>18307</v>
      </c>
      <c r="H122" s="644">
        <v>20483</v>
      </c>
      <c r="I122" s="644">
        <v>23209</v>
      </c>
      <c r="J122" s="644">
        <v>25188</v>
      </c>
    </row>
    <row r="123" spans="1:10" ht="15.75" customHeight="1">
      <c r="A123" s="642">
        <v>11</v>
      </c>
      <c r="B123" s="648">
        <v>2603</v>
      </c>
      <c r="C123" s="648"/>
      <c r="D123" s="644">
        <v>3053</v>
      </c>
      <c r="E123" s="644">
        <v>3816</v>
      </c>
      <c r="F123" s="644">
        <v>4575</v>
      </c>
      <c r="G123" s="644">
        <v>19675</v>
      </c>
      <c r="H123" s="642">
        <v>214.92</v>
      </c>
      <c r="I123" s="644">
        <v>24725</v>
      </c>
      <c r="J123" s="644">
        <v>26757</v>
      </c>
    </row>
    <row r="124" spans="1:10" ht="15.75" customHeight="1">
      <c r="A124" s="642">
        <v>12</v>
      </c>
      <c r="B124" s="648">
        <v>3074</v>
      </c>
      <c r="C124" s="648"/>
      <c r="D124" s="644">
        <v>3571</v>
      </c>
      <c r="E124" s="644">
        <v>4404</v>
      </c>
      <c r="F124" s="644">
        <v>5226</v>
      </c>
      <c r="G124" s="644">
        <v>21026</v>
      </c>
      <c r="H124" s="644">
        <v>23227</v>
      </c>
      <c r="I124" s="644">
        <v>26217</v>
      </c>
      <c r="J124" s="644">
        <v>28300</v>
      </c>
    </row>
    <row r="125" spans="1:10" ht="15.75" customHeight="1">
      <c r="A125" s="642">
        <v>13</v>
      </c>
      <c r="B125" s="648">
        <v>3565</v>
      </c>
      <c r="C125" s="648"/>
      <c r="D125" s="644">
        <v>4107</v>
      </c>
      <c r="E125" s="644">
        <v>5009</v>
      </c>
      <c r="F125" s="644">
        <v>5892</v>
      </c>
      <c r="G125" s="644">
        <v>22362</v>
      </c>
      <c r="H125" s="644">
        <v>24736</v>
      </c>
      <c r="I125" s="644">
        <v>27688</v>
      </c>
      <c r="J125" s="644">
        <v>29819</v>
      </c>
    </row>
    <row r="126" spans="1:10" ht="15.75" customHeight="1">
      <c r="A126" s="642">
        <v>14</v>
      </c>
      <c r="B126" s="648">
        <v>4075</v>
      </c>
      <c r="C126" s="648"/>
      <c r="D126" s="644">
        <v>4660</v>
      </c>
      <c r="E126" s="644">
        <v>5629</v>
      </c>
      <c r="F126" s="644">
        <v>6571</v>
      </c>
      <c r="G126" s="644">
        <v>23685</v>
      </c>
      <c r="H126" s="644">
        <v>26119</v>
      </c>
      <c r="I126" s="644">
        <v>29141</v>
      </c>
      <c r="J126" s="644">
        <v>31319</v>
      </c>
    </row>
    <row r="127" spans="1:10" ht="15.75" customHeight="1">
      <c r="A127" s="642">
        <v>15</v>
      </c>
      <c r="B127" s="648">
        <v>4601</v>
      </c>
      <c r="C127" s="648"/>
      <c r="D127" s="644">
        <v>5229</v>
      </c>
      <c r="E127" s="644">
        <v>6161</v>
      </c>
      <c r="F127" s="644">
        <v>7261</v>
      </c>
      <c r="G127" s="644">
        <v>24996</v>
      </c>
      <c r="H127" s="644">
        <v>27488</v>
      </c>
      <c r="I127" s="644">
        <v>30578</v>
      </c>
      <c r="J127" s="644">
        <v>32801</v>
      </c>
    </row>
    <row r="128" spans="1:10" ht="15.75" customHeight="1">
      <c r="A128" s="642">
        <v>16</v>
      </c>
      <c r="B128" s="648">
        <v>5142</v>
      </c>
      <c r="C128" s="648"/>
      <c r="D128" s="644">
        <v>5812</v>
      </c>
      <c r="E128" s="644">
        <v>6908</v>
      </c>
      <c r="F128" s="644">
        <v>7962</v>
      </c>
      <c r="G128" s="644">
        <v>26296</v>
      </c>
      <c r="H128" s="644">
        <v>28845</v>
      </c>
      <c r="I128" s="644">
        <v>32000</v>
      </c>
      <c r="J128" s="644">
        <v>34267</v>
      </c>
    </row>
    <row r="129" spans="1:10" ht="15.75" customHeight="1">
      <c r="A129" s="642">
        <v>17</v>
      </c>
      <c r="B129" s="648">
        <v>5697</v>
      </c>
      <c r="C129" s="648"/>
      <c r="D129" s="644">
        <v>6408</v>
      </c>
      <c r="E129" s="644">
        <v>7564</v>
      </c>
      <c r="F129" s="644">
        <v>8672</v>
      </c>
      <c r="G129" s="644">
        <v>27587</v>
      </c>
      <c r="H129" s="644">
        <v>30191</v>
      </c>
      <c r="I129" s="644">
        <v>33409</v>
      </c>
      <c r="J129" s="644">
        <v>35718</v>
      </c>
    </row>
    <row r="130" spans="1:10" ht="15.75" customHeight="1">
      <c r="A130" s="642">
        <v>18</v>
      </c>
      <c r="B130" s="648">
        <v>6265</v>
      </c>
      <c r="C130" s="648"/>
      <c r="D130" s="644">
        <v>7015</v>
      </c>
      <c r="E130" s="644">
        <v>8231</v>
      </c>
      <c r="F130" s="644">
        <v>9390</v>
      </c>
      <c r="G130" s="644">
        <v>28869</v>
      </c>
      <c r="H130" s="644">
        <v>31526</v>
      </c>
      <c r="I130" s="644">
        <v>34805</v>
      </c>
      <c r="J130" s="644">
        <v>37156</v>
      </c>
    </row>
    <row r="131" spans="1:10" ht="15.75" customHeight="1">
      <c r="A131" s="642">
        <v>19</v>
      </c>
      <c r="B131" s="648">
        <v>6844</v>
      </c>
      <c r="C131" s="648"/>
      <c r="D131" s="644">
        <v>7633</v>
      </c>
      <c r="E131" s="644">
        <v>8907</v>
      </c>
      <c r="F131" s="644">
        <v>10117</v>
      </c>
      <c r="G131" s="644">
        <v>30144</v>
      </c>
      <c r="H131" s="644">
        <v>32852</v>
      </c>
      <c r="I131" s="644">
        <v>36191</v>
      </c>
      <c r="J131" s="644">
        <v>38582</v>
      </c>
    </row>
    <row r="132" spans="1:10" ht="15.75" customHeight="1">
      <c r="A132" s="642">
        <v>20</v>
      </c>
      <c r="B132" s="648">
        <v>7434</v>
      </c>
      <c r="C132" s="648"/>
      <c r="D132" s="644">
        <v>8260</v>
      </c>
      <c r="E132" s="644">
        <v>9591</v>
      </c>
      <c r="F132" s="644">
        <v>10851</v>
      </c>
      <c r="G132" s="644">
        <v>31410</v>
      </c>
      <c r="H132" s="644">
        <v>34170</v>
      </c>
      <c r="I132" s="644">
        <v>37566</v>
      </c>
      <c r="J132" s="644">
        <v>39997</v>
      </c>
    </row>
    <row r="133" spans="1:10" ht="15.75" customHeight="1">
      <c r="A133" s="642">
        <v>21</v>
      </c>
      <c r="B133" s="648">
        <v>8034</v>
      </c>
      <c r="C133" s="648"/>
      <c r="D133" s="644">
        <v>8897</v>
      </c>
      <c r="E133" s="644">
        <v>10283</v>
      </c>
      <c r="F133" s="644">
        <v>11591</v>
      </c>
      <c r="G133" s="644">
        <v>32671</v>
      </c>
      <c r="H133" s="644">
        <v>35479</v>
      </c>
      <c r="I133" s="644">
        <v>38932</v>
      </c>
      <c r="J133" s="644">
        <v>41401</v>
      </c>
    </row>
    <row r="134" spans="1:10" ht="15.75" customHeight="1">
      <c r="A134" s="642">
        <v>22</v>
      </c>
      <c r="B134" s="648">
        <v>8643</v>
      </c>
      <c r="C134" s="648"/>
      <c r="D134" s="644">
        <v>9542</v>
      </c>
      <c r="E134" s="644">
        <v>10982</v>
      </c>
      <c r="F134" s="644">
        <v>12338</v>
      </c>
      <c r="G134" s="644">
        <v>33924</v>
      </c>
      <c r="H134" s="644">
        <v>36781</v>
      </c>
      <c r="I134" s="644">
        <v>40289</v>
      </c>
      <c r="J134" s="644">
        <v>42796</v>
      </c>
    </row>
    <row r="135" spans="1:10" ht="15.75" customHeight="1">
      <c r="A135" s="642">
        <v>23</v>
      </c>
      <c r="B135" s="648">
        <v>9260</v>
      </c>
      <c r="C135" s="648"/>
      <c r="D135" s="644">
        <v>10196</v>
      </c>
      <c r="E135" s="644">
        <v>11689</v>
      </c>
      <c r="F135" s="644">
        <v>13091</v>
      </c>
      <c r="G135" s="644">
        <v>36172</v>
      </c>
      <c r="H135" s="644">
        <v>38076</v>
      </c>
      <c r="I135" s="644">
        <v>41638</v>
      </c>
      <c r="J135" s="644">
        <v>44181</v>
      </c>
    </row>
    <row r="136" spans="1:10" ht="15.75" customHeight="1">
      <c r="A136" s="642">
        <v>24</v>
      </c>
      <c r="B136" s="648">
        <v>9886</v>
      </c>
      <c r="C136" s="648"/>
      <c r="D136" s="644">
        <v>10856</v>
      </c>
      <c r="E136" s="644">
        <v>12401</v>
      </c>
      <c r="F136" s="644">
        <v>13848</v>
      </c>
      <c r="G136" s="644">
        <v>36415</v>
      </c>
      <c r="H136" s="644">
        <v>39364</v>
      </c>
      <c r="I136" s="644">
        <v>42980</v>
      </c>
      <c r="J136" s="644">
        <v>45558</v>
      </c>
    </row>
    <row r="137" spans="1:10" ht="15.75" customHeight="1">
      <c r="A137" s="642">
        <v>25</v>
      </c>
      <c r="B137" s="648">
        <v>10520</v>
      </c>
      <c r="C137" s="648"/>
      <c r="D137" s="644">
        <v>11524</v>
      </c>
      <c r="E137" s="644">
        <v>13120</v>
      </c>
      <c r="F137" s="644">
        <v>14611</v>
      </c>
      <c r="G137" s="644">
        <v>37652</v>
      </c>
      <c r="H137" s="644">
        <v>40646</v>
      </c>
      <c r="I137" s="644">
        <v>44314</v>
      </c>
      <c r="J137" s="644">
        <v>46928</v>
      </c>
    </row>
    <row r="138" spans="1:10" ht="15.75" customHeight="1">
      <c r="A138" s="642">
        <v>26</v>
      </c>
      <c r="B138" s="648">
        <v>11160</v>
      </c>
      <c r="C138" s="648"/>
      <c r="D138" s="644">
        <v>12198</v>
      </c>
      <c r="E138" s="644">
        <v>13844</v>
      </c>
      <c r="F138" s="644">
        <v>15379</v>
      </c>
      <c r="G138" s="644">
        <v>38885</v>
      </c>
      <c r="H138" s="644">
        <v>41923</v>
      </c>
      <c r="I138" s="644">
        <v>45642</v>
      </c>
      <c r="J138" s="644">
        <v>48290</v>
      </c>
    </row>
    <row r="139" spans="1:10" ht="15.75" customHeight="1">
      <c r="A139" s="642">
        <v>27</v>
      </c>
      <c r="B139" s="648">
        <v>11808</v>
      </c>
      <c r="C139" s="648"/>
      <c r="D139" s="644">
        <v>12879</v>
      </c>
      <c r="E139" s="644">
        <v>14573</v>
      </c>
      <c r="F139" s="644">
        <v>16151</v>
      </c>
      <c r="G139" s="644">
        <v>40113</v>
      </c>
      <c r="H139" s="644">
        <v>43194</v>
      </c>
      <c r="I139" s="644">
        <v>46963</v>
      </c>
      <c r="J139" s="644">
        <v>49645</v>
      </c>
    </row>
    <row r="140" spans="1:10" ht="15.75" customHeight="1">
      <c r="A140" s="642">
        <v>28</v>
      </c>
      <c r="B140" s="648">
        <v>12461</v>
      </c>
      <c r="C140" s="648"/>
      <c r="D140" s="644">
        <v>13565</v>
      </c>
      <c r="E140" s="644">
        <v>15308</v>
      </c>
      <c r="F140" s="644">
        <v>16928</v>
      </c>
      <c r="G140" s="644">
        <v>41337</v>
      </c>
      <c r="H140" s="644">
        <v>44461</v>
      </c>
      <c r="I140" s="644">
        <v>48278</v>
      </c>
      <c r="J140" s="644">
        <v>50993</v>
      </c>
    </row>
    <row r="141" spans="1:10" ht="15.75" customHeight="1">
      <c r="A141" s="642">
        <v>29</v>
      </c>
      <c r="B141" s="648">
        <v>13121</v>
      </c>
      <c r="C141" s="648"/>
      <c r="D141" s="644">
        <v>14256</v>
      </c>
      <c r="E141" s="644">
        <v>16047</v>
      </c>
      <c r="F141" s="644">
        <v>17708</v>
      </c>
      <c r="G141" s="644">
        <v>42557</v>
      </c>
      <c r="H141" s="644">
        <v>45722</v>
      </c>
      <c r="I141" s="644">
        <v>49588</v>
      </c>
      <c r="J141" s="644">
        <v>52336</v>
      </c>
    </row>
    <row r="142" spans="1:10" ht="15.75" customHeight="1">
      <c r="A142" s="642">
        <v>30</v>
      </c>
      <c r="B142" s="648">
        <v>13787</v>
      </c>
      <c r="C142" s="648"/>
      <c r="D142" s="644">
        <v>14953</v>
      </c>
      <c r="E142" s="644">
        <v>16791</v>
      </c>
      <c r="F142" s="644">
        <v>18493</v>
      </c>
      <c r="G142" s="644">
        <v>43773</v>
      </c>
      <c r="H142" s="644">
        <v>46979</v>
      </c>
      <c r="I142" s="644">
        <v>50892</v>
      </c>
      <c r="J142" s="644">
        <v>53672</v>
      </c>
    </row>
    <row r="143" spans="2:6" ht="15.75" customHeight="1">
      <c r="B143" s="145"/>
      <c r="C143" s="145"/>
      <c r="D143" s="145"/>
      <c r="E143" s="145"/>
      <c r="F143" s="145"/>
    </row>
    <row r="144" spans="2:6" ht="15.75" customHeight="1">
      <c r="B144" s="145"/>
      <c r="C144" s="145"/>
      <c r="D144" s="145"/>
      <c r="E144" s="145"/>
      <c r="F144" s="145"/>
    </row>
    <row r="145" spans="1:6" ht="15.75" customHeight="1">
      <c r="A145" s="649" t="s">
        <v>188</v>
      </c>
      <c r="B145" s="145"/>
      <c r="C145" s="145"/>
      <c r="D145" s="145"/>
      <c r="E145" s="145"/>
      <c r="F145" s="145"/>
    </row>
    <row r="146" spans="1:6" ht="15.75" customHeight="1">
      <c r="A146" s="649"/>
      <c r="B146" s="145"/>
      <c r="C146" s="145"/>
      <c r="D146" s="145"/>
      <c r="E146" s="145"/>
      <c r="F146" s="145"/>
    </row>
    <row r="147" spans="1:6" ht="15.75" customHeight="1">
      <c r="A147" s="650" t="s">
        <v>217</v>
      </c>
      <c r="B147" s="651" t="s">
        <v>433</v>
      </c>
      <c r="C147" s="652"/>
      <c r="D147" s="652"/>
      <c r="E147" s="652"/>
      <c r="F147" s="653"/>
    </row>
    <row r="148" spans="1:6" ht="15.75" customHeight="1">
      <c r="A148" s="654"/>
      <c r="B148" s="655" t="s">
        <v>189</v>
      </c>
      <c r="C148" s="656"/>
      <c r="D148" s="657" t="s">
        <v>190</v>
      </c>
      <c r="E148" s="658">
        <v>0.05</v>
      </c>
      <c r="F148" s="659" t="s">
        <v>191</v>
      </c>
    </row>
    <row r="149" spans="1:6" ht="15.75" customHeight="1">
      <c r="A149" s="660">
        <v>5</v>
      </c>
      <c r="B149" s="661" t="s">
        <v>192</v>
      </c>
      <c r="C149" s="661"/>
      <c r="D149" s="662" t="s">
        <v>193</v>
      </c>
      <c r="E149" s="662" t="s">
        <v>194</v>
      </c>
      <c r="F149" s="663" t="s">
        <v>195</v>
      </c>
    </row>
    <row r="150" spans="1:6" ht="15.75" customHeight="1">
      <c r="A150" s="664">
        <v>10</v>
      </c>
      <c r="B150" s="661" t="s">
        <v>196</v>
      </c>
      <c r="C150" s="661"/>
      <c r="D150" s="662" t="s">
        <v>197</v>
      </c>
      <c r="E150" s="665">
        <v>0.41</v>
      </c>
      <c r="F150" s="663" t="s">
        <v>198</v>
      </c>
    </row>
    <row r="151" spans="1:6" ht="15.75" customHeight="1">
      <c r="A151" s="660">
        <v>15</v>
      </c>
      <c r="B151" s="661" t="s">
        <v>199</v>
      </c>
      <c r="C151" s="661"/>
      <c r="D151" s="662" t="s">
        <v>200</v>
      </c>
      <c r="E151" s="662" t="s">
        <v>201</v>
      </c>
      <c r="F151" s="663" t="s">
        <v>202</v>
      </c>
    </row>
    <row r="152" spans="1:6" ht="15.75" customHeight="1">
      <c r="A152" s="660">
        <v>20</v>
      </c>
      <c r="B152" s="661" t="s">
        <v>203</v>
      </c>
      <c r="C152" s="661"/>
      <c r="D152" s="662" t="s">
        <v>204</v>
      </c>
      <c r="E152" s="662" t="s">
        <v>205</v>
      </c>
      <c r="F152" s="663" t="s">
        <v>206</v>
      </c>
    </row>
    <row r="153" spans="1:6" ht="15.75" customHeight="1">
      <c r="A153" s="660">
        <v>25</v>
      </c>
      <c r="B153" s="661" t="s">
        <v>207</v>
      </c>
      <c r="C153" s="661"/>
      <c r="D153" s="662" t="s">
        <v>208</v>
      </c>
      <c r="E153" s="662" t="s">
        <v>199</v>
      </c>
      <c r="F153" s="663" t="s">
        <v>196</v>
      </c>
    </row>
    <row r="154" spans="1:6" ht="15.75" customHeight="1">
      <c r="A154" s="660">
        <v>30</v>
      </c>
      <c r="B154" s="661" t="s">
        <v>209</v>
      </c>
      <c r="C154" s="661"/>
      <c r="D154" s="662" t="s">
        <v>210</v>
      </c>
      <c r="E154" s="662" t="s">
        <v>208</v>
      </c>
      <c r="F154" s="663" t="s">
        <v>205</v>
      </c>
    </row>
    <row r="155" spans="1:6" ht="15.75" customHeight="1">
      <c r="A155" s="660">
        <v>35</v>
      </c>
      <c r="B155" s="661" t="s">
        <v>211</v>
      </c>
      <c r="C155" s="661"/>
      <c r="D155" s="662" t="s">
        <v>189</v>
      </c>
      <c r="E155" s="662" t="s">
        <v>203</v>
      </c>
      <c r="F155" s="663" t="s">
        <v>199</v>
      </c>
    </row>
    <row r="156" spans="1:6" ht="15.75" customHeight="1">
      <c r="A156" s="660">
        <v>40</v>
      </c>
      <c r="B156" s="661" t="s">
        <v>212</v>
      </c>
      <c r="C156" s="661"/>
      <c r="D156" s="662" t="s">
        <v>209</v>
      </c>
      <c r="E156" s="662" t="s">
        <v>207</v>
      </c>
      <c r="F156" s="663" t="s">
        <v>213</v>
      </c>
    </row>
    <row r="157" spans="1:6" ht="15.75" customHeight="1">
      <c r="A157" s="660">
        <v>45</v>
      </c>
      <c r="B157" s="661" t="s">
        <v>214</v>
      </c>
      <c r="C157" s="661"/>
      <c r="D157" s="662" t="s">
        <v>211</v>
      </c>
      <c r="E157" s="662" t="s">
        <v>189</v>
      </c>
      <c r="F157" s="663" t="s">
        <v>208</v>
      </c>
    </row>
    <row r="158" spans="1:6" ht="15.75" customHeight="1">
      <c r="A158" s="660">
        <v>50</v>
      </c>
      <c r="B158" s="661" t="s">
        <v>215</v>
      </c>
      <c r="C158" s="661"/>
      <c r="D158" s="662" t="s">
        <v>212</v>
      </c>
      <c r="E158" s="662" t="s">
        <v>209</v>
      </c>
      <c r="F158" s="663" t="s">
        <v>203</v>
      </c>
    </row>
    <row r="159" spans="1:6" ht="15.75" customHeight="1">
      <c r="A159" s="666" t="s">
        <v>216</v>
      </c>
      <c r="B159" s="667"/>
      <c r="C159" s="667"/>
      <c r="D159" s="668"/>
      <c r="E159" s="668"/>
      <c r="F159" s="669"/>
    </row>
    <row r="160" spans="1:6" ht="15.75" customHeight="1">
      <c r="A160" s="68"/>
      <c r="B160" s="292"/>
      <c r="C160" s="292"/>
      <c r="D160" s="164"/>
      <c r="E160" s="164"/>
      <c r="F160" s="165"/>
    </row>
    <row r="161" spans="2:6" ht="15.75" customHeight="1">
      <c r="B161" s="145"/>
      <c r="C161" s="145"/>
      <c r="D161" s="145"/>
      <c r="E161" s="145"/>
      <c r="F161" s="145"/>
    </row>
    <row r="162" spans="1:6" ht="15.75" customHeight="1">
      <c r="A162" s="56" t="s">
        <v>228</v>
      </c>
      <c r="B162" s="145"/>
      <c r="C162" s="145"/>
      <c r="D162" s="145"/>
      <c r="E162" s="145"/>
      <c r="F162" s="145"/>
    </row>
    <row r="163" spans="2:6" ht="15.75" customHeight="1">
      <c r="B163" s="145"/>
      <c r="C163" s="145"/>
      <c r="D163" s="145"/>
      <c r="E163" s="145"/>
      <c r="F163" s="145"/>
    </row>
    <row r="164" spans="1:22" ht="15.75" customHeight="1">
      <c r="A164" s="670" t="s">
        <v>434</v>
      </c>
      <c r="B164" s="671" t="s">
        <v>435</v>
      </c>
      <c r="C164" s="671"/>
      <c r="D164" s="671"/>
      <c r="E164" s="671"/>
      <c r="F164" s="671"/>
      <c r="G164" s="671"/>
      <c r="H164" s="671"/>
      <c r="I164" s="671"/>
      <c r="J164" s="671"/>
      <c r="K164" s="672"/>
      <c r="M164" s="294" t="s">
        <v>135</v>
      </c>
      <c r="N164" s="293" t="s">
        <v>136</v>
      </c>
      <c r="O164" s="293"/>
      <c r="P164" s="293"/>
      <c r="Q164" s="293"/>
      <c r="R164" s="293"/>
      <c r="S164" s="293"/>
      <c r="T164" s="293"/>
      <c r="U164" s="293"/>
      <c r="V164" s="293"/>
    </row>
    <row r="165" spans="1:22" ht="15.75" customHeight="1">
      <c r="A165" s="673"/>
      <c r="B165" s="605">
        <v>99.01</v>
      </c>
      <c r="C165" s="605"/>
      <c r="D165" s="613">
        <v>50</v>
      </c>
      <c r="E165" s="613">
        <v>20</v>
      </c>
      <c r="F165" s="613">
        <v>10</v>
      </c>
      <c r="G165" s="613">
        <v>5</v>
      </c>
      <c r="H165" s="613">
        <v>4</v>
      </c>
      <c r="I165" s="613">
        <v>2</v>
      </c>
      <c r="J165" s="613">
        <v>1</v>
      </c>
      <c r="K165" s="614">
        <v>0.5</v>
      </c>
      <c r="M165" s="294"/>
      <c r="N165" s="106">
        <v>99.01</v>
      </c>
      <c r="O165" s="106">
        <v>50</v>
      </c>
      <c r="P165" s="106">
        <v>20</v>
      </c>
      <c r="Q165" s="106">
        <v>10</v>
      </c>
      <c r="R165" s="106">
        <v>5</v>
      </c>
      <c r="S165" s="106">
        <v>4</v>
      </c>
      <c r="T165" s="106">
        <v>2</v>
      </c>
      <c r="U165" s="106">
        <v>1</v>
      </c>
      <c r="V165" s="106">
        <v>0.5</v>
      </c>
    </row>
    <row r="166" spans="1:22" ht="15.75" customHeight="1">
      <c r="A166" s="673"/>
      <c r="B166" s="605" t="s">
        <v>436</v>
      </c>
      <c r="C166" s="605"/>
      <c r="D166" s="605"/>
      <c r="E166" s="605"/>
      <c r="F166" s="605"/>
      <c r="G166" s="605"/>
      <c r="H166" s="605"/>
      <c r="I166" s="605"/>
      <c r="J166" s="605"/>
      <c r="K166" s="674"/>
      <c r="M166" s="294"/>
      <c r="N166" s="293" t="s">
        <v>137</v>
      </c>
      <c r="O166" s="293"/>
      <c r="P166" s="293"/>
      <c r="Q166" s="293"/>
      <c r="R166" s="293"/>
      <c r="S166" s="293"/>
      <c r="T166" s="293"/>
      <c r="U166" s="293"/>
      <c r="V166" s="293"/>
    </row>
    <row r="167" spans="1:22" ht="15.75" customHeight="1">
      <c r="A167" s="675"/>
      <c r="B167" s="676">
        <v>1.01</v>
      </c>
      <c r="C167" s="676"/>
      <c r="D167" s="618">
        <v>2</v>
      </c>
      <c r="E167" s="618">
        <v>5</v>
      </c>
      <c r="F167" s="618">
        <v>10</v>
      </c>
      <c r="G167" s="618">
        <v>20</v>
      </c>
      <c r="H167" s="618">
        <v>25</v>
      </c>
      <c r="I167" s="618">
        <v>50</v>
      </c>
      <c r="J167" s="618">
        <v>100</v>
      </c>
      <c r="K167" s="619">
        <v>200</v>
      </c>
      <c r="M167" s="294"/>
      <c r="N167" s="106">
        <v>1.01</v>
      </c>
      <c r="O167" s="106">
        <v>2</v>
      </c>
      <c r="P167" s="106">
        <v>5</v>
      </c>
      <c r="Q167" s="106">
        <v>10</v>
      </c>
      <c r="R167" s="106">
        <v>20</v>
      </c>
      <c r="S167" s="106">
        <v>25</v>
      </c>
      <c r="T167" s="106">
        <v>50</v>
      </c>
      <c r="U167" s="106">
        <v>100</v>
      </c>
      <c r="V167" s="106">
        <v>200</v>
      </c>
    </row>
    <row r="168" spans="1:22" ht="15.75" customHeight="1">
      <c r="A168" s="677">
        <v>0.1</v>
      </c>
      <c r="B168" s="612">
        <v>-2252</v>
      </c>
      <c r="C168" s="612"/>
      <c r="D168" s="678">
        <v>-0.017</v>
      </c>
      <c r="E168" s="613">
        <v>0.836</v>
      </c>
      <c r="F168" s="678">
        <v>1.292</v>
      </c>
      <c r="G168" s="678">
        <v>1.621</v>
      </c>
      <c r="H168" s="678">
        <v>1.785</v>
      </c>
      <c r="I168" s="678">
        <v>2.107</v>
      </c>
      <c r="J168" s="678">
        <v>2.4</v>
      </c>
      <c r="K168" s="614">
        <v>2.67</v>
      </c>
      <c r="M168" s="186">
        <v>1</v>
      </c>
      <c r="N168" s="177">
        <v>1558</v>
      </c>
      <c r="O168" s="187">
        <v>-0.164</v>
      </c>
      <c r="P168" s="187">
        <v>0.758</v>
      </c>
      <c r="Q168" s="187">
        <v>1340</v>
      </c>
      <c r="R168" s="187">
        <v>1809</v>
      </c>
      <c r="S168" s="187">
        <v>2043</v>
      </c>
      <c r="T168" s="187">
        <v>2542</v>
      </c>
      <c r="U168" s="187">
        <v>3022</v>
      </c>
      <c r="V168" s="187">
        <v>3489</v>
      </c>
    </row>
    <row r="169" spans="1:22" ht="15.75" customHeight="1">
      <c r="A169" s="677">
        <v>0</v>
      </c>
      <c r="B169" s="612">
        <v>-2326</v>
      </c>
      <c r="C169" s="612"/>
      <c r="D169" s="678">
        <v>0</v>
      </c>
      <c r="E169" s="613">
        <v>0.842</v>
      </c>
      <c r="F169" s="678">
        <v>1.282</v>
      </c>
      <c r="G169" s="678">
        <v>1.595</v>
      </c>
      <c r="H169" s="678">
        <v>1.751</v>
      </c>
      <c r="I169" s="678">
        <v>2.054</v>
      </c>
      <c r="J169" s="678">
        <v>2.326</v>
      </c>
      <c r="K169" s="614">
        <v>2.576</v>
      </c>
      <c r="M169" s="185">
        <v>0.9</v>
      </c>
      <c r="N169" s="178">
        <v>1166</v>
      </c>
      <c r="O169" s="188">
        <v>-0.148</v>
      </c>
      <c r="P169" s="188">
        <v>0.769</v>
      </c>
      <c r="Q169" s="188">
        <v>1339</v>
      </c>
      <c r="R169" s="188">
        <v>1792</v>
      </c>
      <c r="S169" s="188">
        <v>2018</v>
      </c>
      <c r="T169" s="188">
        <v>2498</v>
      </c>
      <c r="U169" s="188">
        <v>2957</v>
      </c>
      <c r="V169" s="188">
        <v>3401</v>
      </c>
    </row>
    <row r="170" spans="1:22" ht="15.75" customHeight="1">
      <c r="A170" s="677">
        <v>-0.01</v>
      </c>
      <c r="B170" s="612">
        <v>-2400</v>
      </c>
      <c r="C170" s="612"/>
      <c r="D170" s="678">
        <v>0.017</v>
      </c>
      <c r="E170" s="613">
        <v>0.846</v>
      </c>
      <c r="F170" s="678">
        <v>1.27</v>
      </c>
      <c r="G170" s="678">
        <v>1.567</v>
      </c>
      <c r="H170" s="678">
        <v>1.716</v>
      </c>
      <c r="I170" s="678">
        <v>2</v>
      </c>
      <c r="J170" s="678">
        <v>2.252</v>
      </c>
      <c r="K170" s="614">
        <v>2.482</v>
      </c>
      <c r="M170" s="185">
        <v>0.8</v>
      </c>
      <c r="N170" s="178">
        <v>1773</v>
      </c>
      <c r="O170" s="188">
        <v>-0.132</v>
      </c>
      <c r="P170" s="188">
        <v>0.78</v>
      </c>
      <c r="Q170" s="188">
        <v>1336</v>
      </c>
      <c r="R170" s="188">
        <v>1774</v>
      </c>
      <c r="S170" s="188">
        <v>1993</v>
      </c>
      <c r="T170" s="188">
        <v>2453</v>
      </c>
      <c r="U170" s="188">
        <v>2891</v>
      </c>
      <c r="V170" s="188">
        <v>3312</v>
      </c>
    </row>
    <row r="171" spans="1:22" ht="15.75" customHeight="1">
      <c r="A171" s="677">
        <v>-0.02</v>
      </c>
      <c r="B171" s="612">
        <v>-2472</v>
      </c>
      <c r="C171" s="612"/>
      <c r="D171" s="678">
        <v>0.033</v>
      </c>
      <c r="E171" s="613">
        <v>0.85</v>
      </c>
      <c r="F171" s="678">
        <v>1.258</v>
      </c>
      <c r="G171" s="678">
        <v>1.539</v>
      </c>
      <c r="H171" s="678">
        <v>1.68</v>
      </c>
      <c r="I171" s="678">
        <v>1.945</v>
      </c>
      <c r="J171" s="678">
        <v>2.178</v>
      </c>
      <c r="K171" s="614">
        <v>2.388</v>
      </c>
      <c r="M171" s="185">
        <v>0.7</v>
      </c>
      <c r="N171" s="178">
        <v>1806</v>
      </c>
      <c r="O171" s="188">
        <v>-0.116</v>
      </c>
      <c r="P171" s="188">
        <v>0.79</v>
      </c>
      <c r="Q171" s="188">
        <v>1333</v>
      </c>
      <c r="R171" s="188">
        <v>1756</v>
      </c>
      <c r="S171" s="188">
        <v>1963</v>
      </c>
      <c r="T171" s="188">
        <v>2407</v>
      </c>
      <c r="U171" s="188">
        <v>2824</v>
      </c>
      <c r="V171" s="188">
        <v>3223</v>
      </c>
    </row>
    <row r="172" spans="1:22" ht="15.75" customHeight="1">
      <c r="A172" s="677">
        <v>-0.03</v>
      </c>
      <c r="B172" s="612">
        <v>-2544</v>
      </c>
      <c r="C172" s="612"/>
      <c r="D172" s="678">
        <v>0.05</v>
      </c>
      <c r="E172" s="613">
        <v>0.853</v>
      </c>
      <c r="F172" s="678">
        <v>1.245</v>
      </c>
      <c r="G172" s="678">
        <v>1.51</v>
      </c>
      <c r="H172" s="678">
        <v>1.643</v>
      </c>
      <c r="I172" s="678">
        <v>1.89</v>
      </c>
      <c r="J172" s="678">
        <v>2.104</v>
      </c>
      <c r="K172" s="614">
        <v>2.294</v>
      </c>
      <c r="M172" s="185">
        <v>0.6</v>
      </c>
      <c r="N172" s="178">
        <v>1880</v>
      </c>
      <c r="O172" s="188">
        <v>-0.099</v>
      </c>
      <c r="P172" s="188">
        <v>0.8</v>
      </c>
      <c r="Q172" s="188">
        <v>1368</v>
      </c>
      <c r="R172" s="188">
        <v>1735</v>
      </c>
      <c r="S172" s="188">
        <v>1939</v>
      </c>
      <c r="T172" s="188">
        <v>2359</v>
      </c>
      <c r="U172" s="188">
        <v>2755</v>
      </c>
      <c r="V172" s="188">
        <v>3132</v>
      </c>
    </row>
    <row r="173" spans="1:22" ht="15.75" customHeight="1">
      <c r="A173" s="677">
        <v>-0.04</v>
      </c>
      <c r="B173" s="612">
        <v>-2615</v>
      </c>
      <c r="C173" s="612"/>
      <c r="D173" s="678">
        <v>0.066</v>
      </c>
      <c r="E173" s="613">
        <v>0.855</v>
      </c>
      <c r="F173" s="678">
        <v>1.231</v>
      </c>
      <c r="G173" s="678">
        <v>1.481</v>
      </c>
      <c r="H173" s="678">
        <v>1.606</v>
      </c>
      <c r="I173" s="678">
        <v>1.834</v>
      </c>
      <c r="J173" s="678">
        <v>2.029</v>
      </c>
      <c r="K173" s="614">
        <v>2.201</v>
      </c>
      <c r="M173" s="185">
        <v>0.5</v>
      </c>
      <c r="N173" s="178">
        <v>1950</v>
      </c>
      <c r="O173" s="188">
        <v>-0.083</v>
      </c>
      <c r="P173" s="188">
        <v>0.803</v>
      </c>
      <c r="Q173" s="188">
        <v>1323</v>
      </c>
      <c r="R173" s="188">
        <v>1714</v>
      </c>
      <c r="S173" s="188">
        <v>1910</v>
      </c>
      <c r="T173" s="188">
        <v>2231</v>
      </c>
      <c r="U173" s="188">
        <v>2684</v>
      </c>
      <c r="V173" s="188">
        <v>3041</v>
      </c>
    </row>
    <row r="174" spans="1:22" ht="15.75" customHeight="1">
      <c r="A174" s="679">
        <v>-0.05</v>
      </c>
      <c r="B174" s="612">
        <v>-2686</v>
      </c>
      <c r="C174" s="612"/>
      <c r="D174" s="680">
        <v>0.083</v>
      </c>
      <c r="E174" s="681">
        <v>0.856</v>
      </c>
      <c r="F174" s="680">
        <v>1.216</v>
      </c>
      <c r="G174" s="680">
        <v>1.45</v>
      </c>
      <c r="H174" s="680">
        <v>1.567</v>
      </c>
      <c r="I174" s="680">
        <v>1.777</v>
      </c>
      <c r="J174" s="680">
        <v>1.955</v>
      </c>
      <c r="K174" s="614">
        <v>2.108</v>
      </c>
      <c r="M174" s="185">
        <v>0.4</v>
      </c>
      <c r="N174" s="178">
        <v>2029</v>
      </c>
      <c r="O174" s="188">
        <v>-0.066</v>
      </c>
      <c r="P174" s="188">
        <v>0.816</v>
      </c>
      <c r="Q174" s="188">
        <v>1317</v>
      </c>
      <c r="R174" s="188">
        <v>1692</v>
      </c>
      <c r="S174" s="188">
        <v>1880</v>
      </c>
      <c r="T174" s="188">
        <v>2261</v>
      </c>
      <c r="U174" s="188">
        <v>2615</v>
      </c>
      <c r="V174" s="188">
        <v>2949</v>
      </c>
    </row>
    <row r="175" spans="1:22" ht="15.75" customHeight="1">
      <c r="A175" s="677">
        <v>-0.06</v>
      </c>
      <c r="B175" s="612">
        <v>-2755</v>
      </c>
      <c r="C175" s="612"/>
      <c r="D175" s="678">
        <v>0.099</v>
      </c>
      <c r="E175" s="613">
        <v>0.857</v>
      </c>
      <c r="F175" s="678">
        <v>1.2</v>
      </c>
      <c r="G175" s="678">
        <v>1.419</v>
      </c>
      <c r="H175" s="678">
        <v>1.528</v>
      </c>
      <c r="I175" s="678">
        <v>1.72</v>
      </c>
      <c r="J175" s="678">
        <v>1.88</v>
      </c>
      <c r="K175" s="614">
        <v>2.016</v>
      </c>
      <c r="M175" s="185">
        <v>0.3</v>
      </c>
      <c r="N175" s="178">
        <v>2104</v>
      </c>
      <c r="O175" s="188">
        <v>-0.05</v>
      </c>
      <c r="P175" s="188">
        <v>0.824</v>
      </c>
      <c r="Q175" s="188">
        <v>1309</v>
      </c>
      <c r="R175" s="188">
        <v>1669</v>
      </c>
      <c r="S175" s="188">
        <v>1849</v>
      </c>
      <c r="T175" s="188">
        <v>2211</v>
      </c>
      <c r="U175" s="188">
        <v>2544</v>
      </c>
      <c r="V175" s="188">
        <v>2856</v>
      </c>
    </row>
    <row r="176" spans="1:22" ht="15.75" customHeight="1">
      <c r="A176" s="677">
        <v>-0.07</v>
      </c>
      <c r="B176" s="612">
        <v>-2824</v>
      </c>
      <c r="C176" s="612"/>
      <c r="D176" s="678">
        <v>0.116</v>
      </c>
      <c r="E176" s="613">
        <v>0.857</v>
      </c>
      <c r="F176" s="678">
        <v>1.183</v>
      </c>
      <c r="G176" s="678">
        <v>1.386</v>
      </c>
      <c r="H176" s="678">
        <v>1.488</v>
      </c>
      <c r="I176" s="678">
        <v>1.663</v>
      </c>
      <c r="J176" s="678">
        <v>1.806</v>
      </c>
      <c r="K176" s="614">
        <v>1.926</v>
      </c>
      <c r="M176" s="185">
        <v>0.2</v>
      </c>
      <c r="N176" s="182">
        <v>2178</v>
      </c>
      <c r="O176" s="188">
        <v>-0.033</v>
      </c>
      <c r="P176" s="188">
        <v>0.83</v>
      </c>
      <c r="Q176" s="188">
        <v>1301</v>
      </c>
      <c r="R176" s="188">
        <v>1646</v>
      </c>
      <c r="S176" s="188">
        <v>1818</v>
      </c>
      <c r="T176" s="188">
        <v>2159</v>
      </c>
      <c r="U176" s="188">
        <v>2472</v>
      </c>
      <c r="V176" s="188">
        <v>2763</v>
      </c>
    </row>
    <row r="177" spans="1:22" ht="15.75" customHeight="1">
      <c r="A177" s="677">
        <v>-0.08</v>
      </c>
      <c r="B177" s="612">
        <v>-2891</v>
      </c>
      <c r="C177" s="612"/>
      <c r="D177" s="678">
        <v>0.132</v>
      </c>
      <c r="E177" s="613">
        <v>0.856</v>
      </c>
      <c r="F177" s="678">
        <v>1.166</v>
      </c>
      <c r="G177" s="678">
        <v>1.354</v>
      </c>
      <c r="H177" s="678">
        <v>1.448</v>
      </c>
      <c r="I177" s="678">
        <v>1.606</v>
      </c>
      <c r="J177" s="678">
        <v>1.733</v>
      </c>
      <c r="K177" s="614">
        <v>1.837</v>
      </c>
      <c r="M177" s="185">
        <v>0.1</v>
      </c>
      <c r="N177" s="178">
        <v>2252</v>
      </c>
      <c r="O177" s="188">
        <v>-0.017</v>
      </c>
      <c r="P177" s="188">
        <v>0.836</v>
      </c>
      <c r="Q177" s="188">
        <v>1292</v>
      </c>
      <c r="R177" s="188">
        <v>1621</v>
      </c>
      <c r="S177" s="188">
        <v>1785</v>
      </c>
      <c r="T177" s="188">
        <v>2107</v>
      </c>
      <c r="U177" s="188">
        <v>2400</v>
      </c>
      <c r="V177" s="188">
        <v>2670</v>
      </c>
    </row>
    <row r="178" spans="1:22" ht="15.75" customHeight="1">
      <c r="A178" s="677">
        <v>-0.09</v>
      </c>
      <c r="B178" s="612">
        <v>-2957</v>
      </c>
      <c r="C178" s="612"/>
      <c r="D178" s="678">
        <v>0.148</v>
      </c>
      <c r="E178" s="613">
        <v>0.854</v>
      </c>
      <c r="F178" s="678">
        <v>1.147</v>
      </c>
      <c r="G178" s="678">
        <v>1.12</v>
      </c>
      <c r="H178" s="678">
        <v>1.107</v>
      </c>
      <c r="I178" s="678">
        <v>1.549</v>
      </c>
      <c r="J178" s="678">
        <v>1.66</v>
      </c>
      <c r="K178" s="614">
        <v>1.749</v>
      </c>
      <c r="M178" s="184">
        <v>0</v>
      </c>
      <c r="N178" s="176">
        <v>2326</v>
      </c>
      <c r="O178" s="189">
        <v>0</v>
      </c>
      <c r="P178" s="189">
        <v>0.842</v>
      </c>
      <c r="Q178" s="189">
        <v>1282</v>
      </c>
      <c r="R178" s="189">
        <v>1595</v>
      </c>
      <c r="S178" s="189">
        <v>1751</v>
      </c>
      <c r="T178" s="189">
        <v>2054</v>
      </c>
      <c r="U178" s="189">
        <v>2326</v>
      </c>
      <c r="V178" s="189">
        <v>2576</v>
      </c>
    </row>
    <row r="179" spans="1:22" ht="15.75" customHeight="1">
      <c r="A179" s="682">
        <v>-1</v>
      </c>
      <c r="B179" s="617">
        <v>-3022</v>
      </c>
      <c r="C179" s="617"/>
      <c r="D179" s="683">
        <v>0.164</v>
      </c>
      <c r="E179" s="618">
        <v>0.852</v>
      </c>
      <c r="F179" s="683">
        <v>1.128</v>
      </c>
      <c r="G179" s="683">
        <v>1.287</v>
      </c>
      <c r="H179" s="683">
        <v>1.366</v>
      </c>
      <c r="I179" s="683">
        <v>1.492</v>
      </c>
      <c r="J179" s="683">
        <v>1.588</v>
      </c>
      <c r="K179" s="619">
        <v>1.664</v>
      </c>
      <c r="M179" s="185">
        <v>-0.01</v>
      </c>
      <c r="N179" s="178">
        <v>2400</v>
      </c>
      <c r="O179" s="188">
        <v>0.017</v>
      </c>
      <c r="P179" s="188">
        <v>0.846</v>
      </c>
      <c r="Q179" s="188">
        <v>1.27</v>
      </c>
      <c r="R179" s="188">
        <v>1567</v>
      </c>
      <c r="S179" s="188">
        <v>1716</v>
      </c>
      <c r="T179" s="188">
        <v>2000</v>
      </c>
      <c r="U179" s="188">
        <v>2252</v>
      </c>
      <c r="V179" s="188">
        <v>2482</v>
      </c>
    </row>
    <row r="180" spans="2:22" ht="15.75" customHeight="1">
      <c r="B180" s="145"/>
      <c r="C180" s="145"/>
      <c r="D180" s="145"/>
      <c r="E180" s="145"/>
      <c r="F180" s="145"/>
      <c r="M180" s="185">
        <f aca="true" t="shared" si="0" ref="M180:M187">-0.01+M179</f>
        <v>-0.02</v>
      </c>
      <c r="N180" s="178">
        <v>2472</v>
      </c>
      <c r="O180" s="188">
        <v>0.033</v>
      </c>
      <c r="P180" s="188">
        <v>0.85</v>
      </c>
      <c r="Q180" s="188">
        <v>1258</v>
      </c>
      <c r="R180" s="188">
        <v>1539</v>
      </c>
      <c r="S180" s="188">
        <v>1680</v>
      </c>
      <c r="T180" s="188">
        <v>1945</v>
      </c>
      <c r="U180" s="188">
        <v>2178</v>
      </c>
      <c r="V180" s="188">
        <v>2388</v>
      </c>
    </row>
    <row r="181" spans="2:22" ht="15.75" customHeight="1">
      <c r="B181" s="145"/>
      <c r="C181" s="145"/>
      <c r="D181" s="145"/>
      <c r="E181" s="145"/>
      <c r="F181" s="145"/>
      <c r="M181" s="185">
        <f t="shared" si="0"/>
        <v>-0.03</v>
      </c>
      <c r="N181" s="178">
        <v>2544</v>
      </c>
      <c r="O181" s="188">
        <v>0.05</v>
      </c>
      <c r="P181" s="188">
        <v>0.853</v>
      </c>
      <c r="Q181" s="188">
        <v>1245</v>
      </c>
      <c r="R181" s="188">
        <v>1510</v>
      </c>
      <c r="S181" s="188">
        <v>1643</v>
      </c>
      <c r="T181" s="188">
        <v>1890</v>
      </c>
      <c r="U181" s="188">
        <v>2104</v>
      </c>
      <c r="V181" s="188">
        <v>2294</v>
      </c>
    </row>
    <row r="182" spans="2:22" ht="15.75" customHeight="1">
      <c r="B182" s="145"/>
      <c r="C182" s="145"/>
      <c r="D182" s="145"/>
      <c r="E182" s="145"/>
      <c r="F182" s="145"/>
      <c r="M182" s="185">
        <f t="shared" si="0"/>
        <v>-0.04</v>
      </c>
      <c r="N182" s="178">
        <v>2615</v>
      </c>
      <c r="O182" s="188">
        <v>0.066</v>
      </c>
      <c r="P182" s="188">
        <v>0.855</v>
      </c>
      <c r="Q182" s="188">
        <v>1231</v>
      </c>
      <c r="R182" s="188">
        <v>1481</v>
      </c>
      <c r="S182" s="188">
        <v>1606</v>
      </c>
      <c r="T182" s="188">
        <v>1834</v>
      </c>
      <c r="U182" s="188">
        <v>2029</v>
      </c>
      <c r="V182" s="188">
        <v>2201</v>
      </c>
    </row>
    <row r="183" spans="2:22" ht="15.75" customHeight="1">
      <c r="B183" s="145"/>
      <c r="C183" s="145"/>
      <c r="D183" s="145"/>
      <c r="E183" s="145"/>
      <c r="F183" s="145"/>
      <c r="M183" s="180">
        <f>-0.05</f>
        <v>-0.05</v>
      </c>
      <c r="N183" s="110">
        <v>2.686</v>
      </c>
      <c r="O183" s="190">
        <v>0.083</v>
      </c>
      <c r="P183" s="190">
        <v>0.856</v>
      </c>
      <c r="Q183" s="190">
        <v>1.216</v>
      </c>
      <c r="R183" s="190">
        <v>1.45</v>
      </c>
      <c r="S183" s="190">
        <v>1.567</v>
      </c>
      <c r="T183" s="190">
        <v>1.777</v>
      </c>
      <c r="U183" s="190">
        <v>1.955</v>
      </c>
      <c r="V183" s="190">
        <v>2.108</v>
      </c>
    </row>
    <row r="184" spans="2:22" ht="15.75" customHeight="1">
      <c r="B184" s="145"/>
      <c r="C184" s="145"/>
      <c r="D184" s="145"/>
      <c r="E184" s="145"/>
      <c r="F184" s="145"/>
      <c r="M184" s="103">
        <f t="shared" si="0"/>
        <v>-0.060000000000000005</v>
      </c>
      <c r="N184" s="178">
        <v>2755</v>
      </c>
      <c r="O184" s="188">
        <v>0.099</v>
      </c>
      <c r="P184" s="188">
        <v>0.857</v>
      </c>
      <c r="Q184" s="188">
        <v>1200</v>
      </c>
      <c r="R184" s="188">
        <v>1419</v>
      </c>
      <c r="S184" s="188">
        <v>1528</v>
      </c>
      <c r="T184" s="188">
        <v>1720</v>
      </c>
      <c r="U184" s="188">
        <v>1880</v>
      </c>
      <c r="V184" s="188">
        <v>2016</v>
      </c>
    </row>
    <row r="185" spans="2:22" ht="15.75" customHeight="1">
      <c r="B185" s="145"/>
      <c r="C185" s="145"/>
      <c r="D185" s="145"/>
      <c r="E185" s="145"/>
      <c r="F185" s="145"/>
      <c r="M185" s="103">
        <f t="shared" si="0"/>
        <v>-0.07</v>
      </c>
      <c r="N185" s="178">
        <v>2824</v>
      </c>
      <c r="O185" s="188">
        <v>0.116</v>
      </c>
      <c r="P185" s="188">
        <v>0.857</v>
      </c>
      <c r="Q185" s="188">
        <v>1183</v>
      </c>
      <c r="R185" s="188">
        <v>1386</v>
      </c>
      <c r="S185" s="188">
        <v>1488</v>
      </c>
      <c r="T185" s="188">
        <v>1663</v>
      </c>
      <c r="U185" s="188">
        <v>1806</v>
      </c>
      <c r="V185" s="188">
        <v>1926</v>
      </c>
    </row>
    <row r="186" spans="2:22" ht="15.75" customHeight="1">
      <c r="B186" s="145"/>
      <c r="C186" s="145"/>
      <c r="D186" s="145"/>
      <c r="E186" s="145"/>
      <c r="F186" s="145"/>
      <c r="M186" s="103">
        <f t="shared" si="0"/>
        <v>-0.08</v>
      </c>
      <c r="N186" s="178">
        <v>2891</v>
      </c>
      <c r="O186" s="188">
        <v>0.132</v>
      </c>
      <c r="P186" s="188">
        <v>0.856</v>
      </c>
      <c r="Q186" s="188">
        <v>1166</v>
      </c>
      <c r="R186" s="188">
        <v>1354</v>
      </c>
      <c r="S186" s="188">
        <v>1448</v>
      </c>
      <c r="T186" s="188">
        <v>1606</v>
      </c>
      <c r="U186" s="188">
        <v>1733</v>
      </c>
      <c r="V186" s="188">
        <v>1837</v>
      </c>
    </row>
    <row r="187" spans="2:22" ht="15.75" customHeight="1">
      <c r="B187" s="145"/>
      <c r="C187" s="145"/>
      <c r="D187" s="145"/>
      <c r="E187" s="145"/>
      <c r="F187" s="145"/>
      <c r="M187" s="103">
        <f t="shared" si="0"/>
        <v>-0.09</v>
      </c>
      <c r="N187" s="178">
        <v>2957</v>
      </c>
      <c r="O187" s="188">
        <v>0.148</v>
      </c>
      <c r="P187" s="188">
        <v>0.854</v>
      </c>
      <c r="Q187" s="188">
        <v>1147</v>
      </c>
      <c r="R187" s="188">
        <v>1120</v>
      </c>
      <c r="S187" s="188">
        <v>1107</v>
      </c>
      <c r="T187" s="188">
        <v>1549</v>
      </c>
      <c r="U187" s="188">
        <v>1660</v>
      </c>
      <c r="V187" s="188">
        <v>1749</v>
      </c>
    </row>
    <row r="188" spans="2:22" ht="15.75" customHeight="1">
      <c r="B188" s="145"/>
      <c r="C188" s="145"/>
      <c r="D188" s="145"/>
      <c r="E188" s="145"/>
      <c r="F188" s="145"/>
      <c r="M188" s="103">
        <v>-1</v>
      </c>
      <c r="N188" s="178">
        <v>3022</v>
      </c>
      <c r="O188" s="188">
        <v>0.164</v>
      </c>
      <c r="P188" s="188">
        <v>0.852</v>
      </c>
      <c r="Q188" s="188">
        <v>1128</v>
      </c>
      <c r="R188" s="188">
        <v>1287</v>
      </c>
      <c r="S188" s="188">
        <v>1366</v>
      </c>
      <c r="T188" s="188">
        <v>1492</v>
      </c>
      <c r="U188" s="188">
        <v>1588</v>
      </c>
      <c r="V188" s="188">
        <v>1664</v>
      </c>
    </row>
    <row r="189" spans="2:22" ht="15.75" customHeight="1">
      <c r="B189" s="145"/>
      <c r="C189" s="145"/>
      <c r="D189" s="145"/>
      <c r="E189" s="145"/>
      <c r="F189" s="145"/>
      <c r="M189" s="103">
        <v>-1.1</v>
      </c>
      <c r="N189" s="178">
        <v>3022</v>
      </c>
      <c r="O189" s="188">
        <v>0.18</v>
      </c>
      <c r="P189" s="188">
        <v>0.848</v>
      </c>
      <c r="Q189" s="188">
        <v>1107</v>
      </c>
      <c r="R189" s="188">
        <v>1252</v>
      </c>
      <c r="S189" s="188">
        <v>1324</v>
      </c>
      <c r="T189" s="188">
        <v>1435</v>
      </c>
      <c r="U189" s="188">
        <v>1518</v>
      </c>
      <c r="V189" s="188">
        <v>1581</v>
      </c>
    </row>
    <row r="190" spans="2:22" ht="15.75" customHeight="1">
      <c r="B190" s="145"/>
      <c r="C190" s="145"/>
      <c r="D190" s="145"/>
      <c r="E190" s="145"/>
      <c r="F190" s="145"/>
      <c r="M190" s="103">
        <f>-0.1+M189</f>
        <v>-1.2000000000000002</v>
      </c>
      <c r="N190" s="178">
        <v>3149</v>
      </c>
      <c r="O190" s="188">
        <v>0.195</v>
      </c>
      <c r="P190" s="188">
        <v>0.844</v>
      </c>
      <c r="Q190" s="188">
        <v>1086</v>
      </c>
      <c r="R190" s="188">
        <v>1217</v>
      </c>
      <c r="S190" s="188">
        <v>1282</v>
      </c>
      <c r="T190" s="188">
        <v>1379</v>
      </c>
      <c r="U190" s="188">
        <v>1449</v>
      </c>
      <c r="V190" s="188">
        <v>1501</v>
      </c>
    </row>
    <row r="191" spans="2:22" ht="15.75" customHeight="1">
      <c r="B191" s="145"/>
      <c r="C191" s="145"/>
      <c r="D191" s="145"/>
      <c r="E191" s="145"/>
      <c r="F191" s="145"/>
      <c r="M191" s="103">
        <f aca="true" t="shared" si="1" ref="M191:M208">-0.1+M190</f>
        <v>-1.3000000000000003</v>
      </c>
      <c r="N191" s="178">
        <v>3211</v>
      </c>
      <c r="O191" s="188">
        <v>0.21</v>
      </c>
      <c r="P191" s="188">
        <v>0.838</v>
      </c>
      <c r="Q191" s="188">
        <v>1064</v>
      </c>
      <c r="R191" s="188">
        <v>1181</v>
      </c>
      <c r="S191" s="188">
        <v>1240</v>
      </c>
      <c r="T191" s="188">
        <v>1324</v>
      </c>
      <c r="U191" s="188">
        <v>1383</v>
      </c>
      <c r="V191" s="188">
        <v>1424</v>
      </c>
    </row>
    <row r="192" spans="2:22" ht="15.75" customHeight="1">
      <c r="B192" s="145"/>
      <c r="C192" s="145"/>
      <c r="D192" s="145"/>
      <c r="E192" s="145"/>
      <c r="F192" s="145"/>
      <c r="M192" s="103">
        <f t="shared" si="1"/>
        <v>-1.4000000000000004</v>
      </c>
      <c r="N192" s="178">
        <v>3271</v>
      </c>
      <c r="O192" s="188">
        <v>0.225</v>
      </c>
      <c r="P192" s="188">
        <v>0.832</v>
      </c>
      <c r="Q192" s="188">
        <v>1041</v>
      </c>
      <c r="R192" s="188">
        <v>1146</v>
      </c>
      <c r="S192" s="188">
        <v>1198</v>
      </c>
      <c r="T192" s="188">
        <v>1270</v>
      </c>
      <c r="U192" s="188">
        <v>1318</v>
      </c>
      <c r="V192" s="188">
        <v>1351</v>
      </c>
    </row>
    <row r="193" spans="2:22" ht="15.75" customHeight="1">
      <c r="B193" s="145"/>
      <c r="C193" s="145"/>
      <c r="D193" s="145"/>
      <c r="E193" s="145"/>
      <c r="F193" s="145"/>
      <c r="M193" s="103">
        <f t="shared" si="1"/>
        <v>-1.5000000000000004</v>
      </c>
      <c r="N193" s="178">
        <v>3330</v>
      </c>
      <c r="O193" s="188">
        <v>0.24</v>
      </c>
      <c r="P193" s="188">
        <v>0.825</v>
      </c>
      <c r="Q193" s="188">
        <v>1018</v>
      </c>
      <c r="R193" s="188">
        <v>1386</v>
      </c>
      <c r="S193" s="188">
        <v>1570</v>
      </c>
      <c r="T193" s="188">
        <v>1217</v>
      </c>
      <c r="U193" s="188">
        <v>1256</v>
      </c>
      <c r="V193" s="188">
        <v>1282</v>
      </c>
    </row>
    <row r="194" spans="2:22" ht="15.75" customHeight="1">
      <c r="B194" s="145"/>
      <c r="C194" s="145"/>
      <c r="D194" s="145"/>
      <c r="E194" s="145"/>
      <c r="F194" s="145"/>
      <c r="M194" s="103">
        <f t="shared" si="1"/>
        <v>-1.6000000000000005</v>
      </c>
      <c r="N194" s="178">
        <v>3388</v>
      </c>
      <c r="O194" s="188">
        <v>0.254</v>
      </c>
      <c r="P194" s="188">
        <v>0.817</v>
      </c>
      <c r="Q194" s="188">
        <v>0.994</v>
      </c>
      <c r="R194" s="188">
        <v>1075</v>
      </c>
      <c r="S194" s="188">
        <v>1116</v>
      </c>
      <c r="T194" s="188">
        <v>1166</v>
      </c>
      <c r="U194" s="188">
        <v>1197</v>
      </c>
      <c r="V194" s="188">
        <v>1216</v>
      </c>
    </row>
    <row r="195" spans="2:22" ht="15.75" customHeight="1">
      <c r="B195" s="145"/>
      <c r="C195" s="145"/>
      <c r="D195" s="145"/>
      <c r="E195" s="145"/>
      <c r="F195" s="145"/>
      <c r="M195" s="103">
        <f t="shared" si="1"/>
        <v>-1.7000000000000006</v>
      </c>
      <c r="N195" s="178">
        <v>3444</v>
      </c>
      <c r="O195" s="188">
        <v>0.268</v>
      </c>
      <c r="P195" s="188">
        <v>0.808</v>
      </c>
      <c r="Q195" s="188">
        <v>0.97</v>
      </c>
      <c r="R195" s="188">
        <v>1040</v>
      </c>
      <c r="S195" s="188">
        <v>1075</v>
      </c>
      <c r="T195" s="188">
        <v>1116</v>
      </c>
      <c r="U195" s="188">
        <v>1140</v>
      </c>
      <c r="V195" s="188">
        <v>1155</v>
      </c>
    </row>
    <row r="196" spans="2:22" ht="15.75" customHeight="1">
      <c r="B196" s="145"/>
      <c r="C196" s="145"/>
      <c r="D196" s="145"/>
      <c r="E196" s="145"/>
      <c r="F196" s="145"/>
      <c r="M196" s="103">
        <f t="shared" si="1"/>
        <v>-1.8000000000000007</v>
      </c>
      <c r="N196" s="178">
        <v>3499</v>
      </c>
      <c r="O196" s="188">
        <v>0.282</v>
      </c>
      <c r="P196" s="188">
        <v>0.799</v>
      </c>
      <c r="Q196" s="188">
        <v>0.945</v>
      </c>
      <c r="R196" s="188">
        <v>1035</v>
      </c>
      <c r="S196" s="188">
        <v>1035</v>
      </c>
      <c r="T196" s="188">
        <v>1069</v>
      </c>
      <c r="U196" s="188">
        <v>1087</v>
      </c>
      <c r="V196" s="188">
        <v>1097</v>
      </c>
    </row>
    <row r="197" spans="2:22" ht="15.75" customHeight="1">
      <c r="B197" s="145"/>
      <c r="C197" s="145"/>
      <c r="D197" s="145"/>
      <c r="E197" s="145"/>
      <c r="F197" s="145"/>
      <c r="M197" s="103">
        <f t="shared" si="1"/>
        <v>-1.9000000000000008</v>
      </c>
      <c r="N197" s="178">
        <v>3553</v>
      </c>
      <c r="O197" s="188">
        <v>0.294</v>
      </c>
      <c r="P197" s="188">
        <v>0.788</v>
      </c>
      <c r="Q197" s="188">
        <v>0.92</v>
      </c>
      <c r="R197" s="188">
        <v>0.971</v>
      </c>
      <c r="S197" s="188">
        <v>0.996</v>
      </c>
      <c r="T197" s="188">
        <v>1023</v>
      </c>
      <c r="U197" s="188">
        <v>1037</v>
      </c>
      <c r="V197" s="188">
        <v>1044</v>
      </c>
    </row>
    <row r="198" spans="2:22" ht="15" customHeight="1">
      <c r="B198" s="145"/>
      <c r="C198" s="145"/>
      <c r="D198" s="145"/>
      <c r="E198" s="145"/>
      <c r="F198" s="145"/>
      <c r="M198" s="103">
        <f t="shared" si="1"/>
        <v>-2.000000000000001</v>
      </c>
      <c r="N198" s="178">
        <v>3065</v>
      </c>
      <c r="O198" s="188">
        <v>0.307</v>
      </c>
      <c r="P198" s="188">
        <v>0.777</v>
      </c>
      <c r="Q198" s="188">
        <v>0.895</v>
      </c>
      <c r="R198" s="188">
        <v>0.938</v>
      </c>
      <c r="S198" s="188">
        <v>0.959</v>
      </c>
      <c r="T198" s="188">
        <v>0.98</v>
      </c>
      <c r="U198" s="188">
        <v>0.99</v>
      </c>
      <c r="V198" s="188">
        <v>0.995</v>
      </c>
    </row>
    <row r="199" spans="2:22" ht="15.75">
      <c r="B199" s="145"/>
      <c r="C199" s="62" t="s">
        <v>88</v>
      </c>
      <c r="M199" s="103">
        <f t="shared" si="1"/>
        <v>-2.100000000000001</v>
      </c>
      <c r="N199" s="178">
        <v>3656</v>
      </c>
      <c r="O199" s="188">
        <v>0.319</v>
      </c>
      <c r="P199" s="188">
        <v>0.765</v>
      </c>
      <c r="Q199" s="188">
        <v>0.869</v>
      </c>
      <c r="R199" s="188">
        <v>0.905</v>
      </c>
      <c r="S199" s="188">
        <v>0.923</v>
      </c>
      <c r="T199" s="188">
        <v>0.939</v>
      </c>
      <c r="U199" s="188">
        <v>0.946</v>
      </c>
      <c r="V199" s="188">
        <v>0.949</v>
      </c>
    </row>
    <row r="200" spans="2:22" ht="15" customHeight="1">
      <c r="B200" s="145"/>
      <c r="C200" s="66" t="s">
        <v>87</v>
      </c>
      <c r="D200" s="66">
        <v>5</v>
      </c>
      <c r="E200" s="66">
        <v>10</v>
      </c>
      <c r="F200" s="66">
        <v>15</v>
      </c>
      <c r="G200" s="66">
        <v>30</v>
      </c>
      <c r="H200" s="66">
        <v>60</v>
      </c>
      <c r="I200" s="66">
        <v>120</v>
      </c>
      <c r="J200" s="66">
        <v>180</v>
      </c>
      <c r="K200" s="66">
        <v>240</v>
      </c>
      <c r="L200" s="66">
        <v>300</v>
      </c>
      <c r="M200" s="103">
        <f t="shared" si="1"/>
        <v>-2.200000000000001</v>
      </c>
      <c r="N200" s="178">
        <v>3705</v>
      </c>
      <c r="O200" s="188">
        <v>0.33</v>
      </c>
      <c r="P200" s="188">
        <v>0.752</v>
      </c>
      <c r="Q200" s="188">
        <v>0.844</v>
      </c>
      <c r="R200" s="188">
        <v>0.873</v>
      </c>
      <c r="S200" s="188">
        <v>0.888</v>
      </c>
      <c r="T200" s="188">
        <v>0.9</v>
      </c>
      <c r="U200" s="188">
        <v>0.905</v>
      </c>
      <c r="V200" s="188">
        <v>0.907</v>
      </c>
    </row>
    <row r="201" spans="2:22" ht="15" customHeight="1">
      <c r="B201" s="145"/>
      <c r="C201" s="66" t="s">
        <v>86</v>
      </c>
      <c r="D201" s="66">
        <v>7</v>
      </c>
      <c r="E201" s="66">
        <v>4</v>
      </c>
      <c r="F201" s="66">
        <v>3</v>
      </c>
      <c r="G201" s="66">
        <v>5</v>
      </c>
      <c r="H201" s="66">
        <v>5</v>
      </c>
      <c r="I201" s="66">
        <v>27</v>
      </c>
      <c r="J201" s="66">
        <v>20</v>
      </c>
      <c r="K201" s="66">
        <v>7</v>
      </c>
      <c r="L201" s="66">
        <v>9</v>
      </c>
      <c r="M201" s="103">
        <f t="shared" si="1"/>
        <v>-2.300000000000001</v>
      </c>
      <c r="N201" s="178">
        <v>3753</v>
      </c>
      <c r="O201" s="188">
        <v>0.341</v>
      </c>
      <c r="P201" s="188">
        <v>0.739</v>
      </c>
      <c r="Q201" s="188">
        <v>0.819</v>
      </c>
      <c r="R201" s="188">
        <v>0.843</v>
      </c>
      <c r="S201" s="188">
        <v>0.855</v>
      </c>
      <c r="T201" s="188">
        <v>0.964</v>
      </c>
      <c r="U201" s="188">
        <v>0.867</v>
      </c>
      <c r="V201" s="188">
        <v>0.869</v>
      </c>
    </row>
    <row r="202" spans="2:22" ht="15" customHeight="1">
      <c r="B202" s="145"/>
      <c r="C202" s="66" t="s">
        <v>85</v>
      </c>
      <c r="D202" s="66">
        <v>7</v>
      </c>
      <c r="E202" s="66">
        <v>11</v>
      </c>
      <c r="F202" s="66">
        <v>14</v>
      </c>
      <c r="G202" s="66">
        <v>19</v>
      </c>
      <c r="H202" s="66">
        <v>24</v>
      </c>
      <c r="I202" s="66">
        <v>51</v>
      </c>
      <c r="J202" s="66">
        <v>71</v>
      </c>
      <c r="K202" s="66">
        <v>78</v>
      </c>
      <c r="L202" s="66">
        <v>86</v>
      </c>
      <c r="M202" s="103">
        <f>-0.1+M201</f>
        <v>-2.4000000000000012</v>
      </c>
      <c r="N202" s="178">
        <v>3800</v>
      </c>
      <c r="O202" s="188">
        <v>0.351</v>
      </c>
      <c r="P202" s="188">
        <v>0.725</v>
      </c>
      <c r="Q202" s="188">
        <v>0.795</v>
      </c>
      <c r="R202" s="188">
        <v>0.814</v>
      </c>
      <c r="S202" s="188">
        <v>0.823</v>
      </c>
      <c r="T202" s="188">
        <v>0.83</v>
      </c>
      <c r="U202" s="188">
        <v>0.832</v>
      </c>
      <c r="V202" s="188">
        <v>0.833</v>
      </c>
    </row>
    <row r="203" spans="2:22" ht="15" customHeight="1">
      <c r="B203" s="145"/>
      <c r="C203" s="56" t="s">
        <v>84</v>
      </c>
      <c r="M203" s="103">
        <f t="shared" si="1"/>
        <v>-2.5000000000000013</v>
      </c>
      <c r="N203" s="178">
        <v>3845</v>
      </c>
      <c r="O203" s="188">
        <v>0.36</v>
      </c>
      <c r="P203" s="188">
        <v>0.711</v>
      </c>
      <c r="Q203" s="188">
        <v>0.771</v>
      </c>
      <c r="R203" s="188">
        <v>0.786</v>
      </c>
      <c r="S203" s="188">
        <v>0.793</v>
      </c>
      <c r="T203" s="188">
        <v>0.798</v>
      </c>
      <c r="U203" s="188">
        <v>0.799</v>
      </c>
      <c r="V203" s="188">
        <v>0.8</v>
      </c>
    </row>
    <row r="204" spans="2:22" ht="15" customHeight="1">
      <c r="B204" s="145"/>
      <c r="C204" s="145"/>
      <c r="D204" s="145"/>
      <c r="E204" s="145"/>
      <c r="F204" s="145"/>
      <c r="M204" s="103">
        <f t="shared" si="1"/>
        <v>-2.6000000000000014</v>
      </c>
      <c r="N204" s="178">
        <v>3889</v>
      </c>
      <c r="O204" s="188">
        <v>0.368</v>
      </c>
      <c r="P204" s="188">
        <v>0.696</v>
      </c>
      <c r="Q204" s="188">
        <v>0.747</v>
      </c>
      <c r="R204" s="188">
        <v>0.758</v>
      </c>
      <c r="S204" s="188">
        <v>0.764</v>
      </c>
      <c r="T204" s="188">
        <v>0.768</v>
      </c>
      <c r="U204" s="188">
        <v>0.769</v>
      </c>
      <c r="V204" s="188">
        <v>0.769</v>
      </c>
    </row>
    <row r="205" spans="3:22" ht="15.75">
      <c r="C205" s="62" t="s">
        <v>65</v>
      </c>
      <c r="M205" s="103">
        <f t="shared" si="1"/>
        <v>-2.7000000000000015</v>
      </c>
      <c r="N205" s="178">
        <v>3932</v>
      </c>
      <c r="O205" s="188">
        <v>0.374</v>
      </c>
      <c r="P205" s="188">
        <v>0.681</v>
      </c>
      <c r="Q205" s="188">
        <v>0.724</v>
      </c>
      <c r="R205" s="188">
        <v>0.733</v>
      </c>
      <c r="S205" s="188">
        <v>0.738</v>
      </c>
      <c r="T205" s="188">
        <v>0.74</v>
      </c>
      <c r="U205" s="188">
        <v>0.74</v>
      </c>
      <c r="V205" s="188">
        <v>0.7414</v>
      </c>
    </row>
    <row r="206" spans="3:22" ht="15">
      <c r="C206" s="70" t="s">
        <v>66</v>
      </c>
      <c r="D206" s="71" t="s">
        <v>30</v>
      </c>
      <c r="E206" s="72" t="s">
        <v>66</v>
      </c>
      <c r="F206" s="73" t="s">
        <v>30</v>
      </c>
      <c r="M206" s="103">
        <f t="shared" si="1"/>
        <v>-2.8000000000000016</v>
      </c>
      <c r="N206" s="178">
        <v>3973</v>
      </c>
      <c r="O206" s="188">
        <v>0.384</v>
      </c>
      <c r="P206" s="188">
        <v>0.666</v>
      </c>
      <c r="Q206" s="188">
        <v>0.702</v>
      </c>
      <c r="R206" s="188">
        <v>0.709</v>
      </c>
      <c r="S206" s="188">
        <v>0.712</v>
      </c>
      <c r="T206" s="188">
        <v>0.714</v>
      </c>
      <c r="U206" s="188">
        <v>0.714</v>
      </c>
      <c r="V206" s="188">
        <v>0.714</v>
      </c>
    </row>
    <row r="207" spans="3:22" ht="15">
      <c r="C207" s="68" t="s">
        <v>67</v>
      </c>
      <c r="D207" s="67"/>
      <c r="E207" s="67" t="s">
        <v>67</v>
      </c>
      <c r="F207" s="69"/>
      <c r="M207" s="103">
        <f t="shared" si="1"/>
        <v>-2.9000000000000017</v>
      </c>
      <c r="N207" s="178">
        <v>4013</v>
      </c>
      <c r="O207" s="188">
        <v>0.39</v>
      </c>
      <c r="P207" s="188">
        <v>0.651</v>
      </c>
      <c r="Q207" s="188">
        <v>0.681</v>
      </c>
      <c r="R207" s="188">
        <v>0.682</v>
      </c>
      <c r="S207" s="188">
        <v>0.683</v>
      </c>
      <c r="T207" s="188">
        <v>0.689</v>
      </c>
      <c r="U207" s="188">
        <v>0.69</v>
      </c>
      <c r="V207" s="188">
        <v>0.69</v>
      </c>
    </row>
    <row r="208" spans="3:22" ht="15">
      <c r="C208" s="74">
        <v>0.1</v>
      </c>
      <c r="D208" s="71">
        <v>3.09</v>
      </c>
      <c r="E208" s="71">
        <v>50</v>
      </c>
      <c r="F208" s="71">
        <v>0</v>
      </c>
      <c r="M208" s="181">
        <f t="shared" si="1"/>
        <v>-3.0000000000000018</v>
      </c>
      <c r="N208" s="179">
        <v>4051</v>
      </c>
      <c r="O208" s="191">
        <v>0.396</v>
      </c>
      <c r="P208" s="191">
        <v>0.636</v>
      </c>
      <c r="Q208" s="191">
        <v>0.66</v>
      </c>
      <c r="R208" s="191">
        <v>0.664</v>
      </c>
      <c r="S208" s="191">
        <v>0.666</v>
      </c>
      <c r="T208" s="191">
        <v>0.666</v>
      </c>
      <c r="U208" s="191">
        <v>0.667</v>
      </c>
      <c r="V208" s="191">
        <v>0.667</v>
      </c>
    </row>
    <row r="209" spans="3:6" ht="15">
      <c r="C209" s="75">
        <v>0.5</v>
      </c>
      <c r="D209" s="76">
        <v>2.58</v>
      </c>
      <c r="E209" s="76">
        <v>55</v>
      </c>
      <c r="F209" s="76">
        <v>-0.13</v>
      </c>
    </row>
    <row r="210" spans="3:6" ht="15">
      <c r="C210" s="75">
        <v>1</v>
      </c>
      <c r="D210" s="76">
        <v>2.33</v>
      </c>
      <c r="E210" s="76">
        <v>60</v>
      </c>
      <c r="F210" s="76">
        <v>-0.25</v>
      </c>
    </row>
    <row r="211" spans="3:6" ht="15">
      <c r="C211" s="75">
        <v>2.5</v>
      </c>
      <c r="D211" s="76">
        <v>1.96</v>
      </c>
      <c r="E211" s="76">
        <v>65</v>
      </c>
      <c r="F211" s="76">
        <v>-0.38</v>
      </c>
    </row>
    <row r="212" spans="3:6" ht="15">
      <c r="C212" s="76">
        <v>5</v>
      </c>
      <c r="D212" s="76">
        <v>1.64</v>
      </c>
      <c r="E212" s="76">
        <v>70</v>
      </c>
      <c r="F212" s="76">
        <v>-0.52</v>
      </c>
    </row>
    <row r="213" spans="3:6" ht="15">
      <c r="C213" s="76">
        <v>10</v>
      </c>
      <c r="D213" s="76">
        <v>1.28</v>
      </c>
      <c r="E213" s="76">
        <v>75</v>
      </c>
      <c r="F213" s="76">
        <v>-0.67</v>
      </c>
    </row>
    <row r="214" spans="3:6" ht="15">
      <c r="C214" s="76">
        <v>15</v>
      </c>
      <c r="D214" s="76">
        <v>1.04</v>
      </c>
      <c r="E214" s="76">
        <v>80</v>
      </c>
      <c r="F214" s="76">
        <v>-0.84</v>
      </c>
    </row>
    <row r="215" spans="3:6" ht="15">
      <c r="C215" s="76">
        <v>20</v>
      </c>
      <c r="D215" s="76">
        <v>0.84</v>
      </c>
      <c r="E215" s="76">
        <v>85</v>
      </c>
      <c r="F215" s="76">
        <v>-1.04</v>
      </c>
    </row>
    <row r="216" spans="3:6" ht="15">
      <c r="C216" s="76">
        <v>25</v>
      </c>
      <c r="D216" s="76">
        <v>0.67</v>
      </c>
      <c r="E216" s="76">
        <v>90</v>
      </c>
      <c r="F216" s="76">
        <v>-1.28</v>
      </c>
    </row>
    <row r="217" spans="3:6" ht="15">
      <c r="C217" s="76">
        <v>30</v>
      </c>
      <c r="D217" s="76">
        <v>0.52</v>
      </c>
      <c r="E217" s="76">
        <v>95</v>
      </c>
      <c r="F217" s="76">
        <v>-1.64</v>
      </c>
    </row>
    <row r="218" spans="3:6" ht="15">
      <c r="C218" s="76">
        <v>35</v>
      </c>
      <c r="D218" s="76">
        <v>0.38</v>
      </c>
      <c r="E218" s="76">
        <v>97.5</v>
      </c>
      <c r="F218" s="76">
        <v>-1.96</v>
      </c>
    </row>
    <row r="219" spans="3:6" ht="15">
      <c r="C219" s="76">
        <v>30</v>
      </c>
      <c r="D219" s="76">
        <v>0.25</v>
      </c>
      <c r="E219" s="76">
        <v>99</v>
      </c>
      <c r="F219" s="76">
        <v>-2.33</v>
      </c>
    </row>
    <row r="220" spans="3:6" ht="15">
      <c r="C220" s="76">
        <v>45</v>
      </c>
      <c r="D220" s="76">
        <v>0.13</v>
      </c>
      <c r="E220" s="76">
        <v>99.5</v>
      </c>
      <c r="F220" s="76">
        <v>-2.58</v>
      </c>
    </row>
    <row r="221" spans="3:6" ht="15">
      <c r="C221" s="77">
        <v>50</v>
      </c>
      <c r="D221" s="77">
        <v>0</v>
      </c>
      <c r="E221" s="77">
        <v>99.9</v>
      </c>
      <c r="F221" s="77">
        <v>-3.09</v>
      </c>
    </row>
    <row r="224" ht="15.75">
      <c r="C224" s="62" t="s">
        <v>83</v>
      </c>
    </row>
    <row r="225" spans="3:9" ht="15">
      <c r="C225" s="72"/>
      <c r="D225" s="299" t="s">
        <v>82</v>
      </c>
      <c r="E225" s="299"/>
      <c r="F225" s="299"/>
      <c r="G225" s="299"/>
      <c r="H225" s="299"/>
      <c r="I225" s="299"/>
    </row>
    <row r="226" spans="3:9" ht="15">
      <c r="C226" s="77" t="s">
        <v>62</v>
      </c>
      <c r="D226" s="78">
        <v>2</v>
      </c>
      <c r="E226" s="78">
        <v>5</v>
      </c>
      <c r="F226" s="78">
        <v>10</v>
      </c>
      <c r="G226" s="78">
        <v>20</v>
      </c>
      <c r="H226" s="78">
        <v>50</v>
      </c>
      <c r="I226" s="78">
        <v>100</v>
      </c>
    </row>
    <row r="227" spans="3:14" ht="15" customHeight="1">
      <c r="C227" s="79">
        <v>0.05</v>
      </c>
      <c r="D227" s="79">
        <v>-0.25</v>
      </c>
      <c r="E227" s="79">
        <v>0.8334</v>
      </c>
      <c r="F227" s="79">
        <v>1.2965</v>
      </c>
      <c r="G227" s="79">
        <v>1.6863</v>
      </c>
      <c r="H227" s="79">
        <v>2.1341</v>
      </c>
      <c r="I227" s="79">
        <v>2.437</v>
      </c>
      <c r="K227" s="80"/>
      <c r="L227" s="80"/>
      <c r="M227" s="80"/>
      <c r="N227" s="80"/>
    </row>
    <row r="228" spans="3:14" ht="15" customHeight="1">
      <c r="C228" s="81">
        <v>0.1</v>
      </c>
      <c r="D228" s="81">
        <v>-0.0496</v>
      </c>
      <c r="E228" s="81">
        <v>0.8222</v>
      </c>
      <c r="F228" s="81">
        <v>1.3078</v>
      </c>
      <c r="G228" s="81">
        <v>1.7247</v>
      </c>
      <c r="H228" s="81">
        <v>2.213</v>
      </c>
      <c r="I228" s="81">
        <v>2.5489</v>
      </c>
      <c r="K228" s="80"/>
      <c r="L228" s="80"/>
      <c r="M228" s="80"/>
      <c r="N228" s="80"/>
    </row>
    <row r="229" spans="3:14" ht="15" customHeight="1">
      <c r="C229" s="82">
        <v>0.15</v>
      </c>
      <c r="D229" s="82">
        <v>-0.0738</v>
      </c>
      <c r="E229" s="82">
        <v>0.8085</v>
      </c>
      <c r="F229" s="82">
        <v>1.3156</v>
      </c>
      <c r="G229" s="82">
        <v>1.7598</v>
      </c>
      <c r="H229" s="82">
        <v>2.2899</v>
      </c>
      <c r="I229" s="82">
        <v>2.6607</v>
      </c>
      <c r="K229" s="80"/>
      <c r="L229" s="80"/>
      <c r="M229" s="80"/>
      <c r="N229" s="80"/>
    </row>
    <row r="230" spans="3:14" ht="15" customHeight="1">
      <c r="C230" s="82">
        <v>0.2</v>
      </c>
      <c r="D230" s="82">
        <v>-0.0971</v>
      </c>
      <c r="E230" s="82">
        <v>0.7926</v>
      </c>
      <c r="F230" s="82">
        <v>1.32</v>
      </c>
      <c r="G230" s="82">
        <v>1.7911</v>
      </c>
      <c r="H230" s="82">
        <v>2.364</v>
      </c>
      <c r="I230" s="82">
        <v>2.7716</v>
      </c>
      <c r="K230" s="80"/>
      <c r="L230" s="80"/>
      <c r="M230" s="80"/>
      <c r="N230" s="80"/>
    </row>
    <row r="231" spans="3:14" ht="15" customHeight="1">
      <c r="C231" s="82">
        <v>0.25</v>
      </c>
      <c r="D231" s="82">
        <v>-0.1194</v>
      </c>
      <c r="E231" s="82">
        <v>0.7748</v>
      </c>
      <c r="F231" s="82">
        <v>1.3209</v>
      </c>
      <c r="G231" s="82">
        <v>1.8183</v>
      </c>
      <c r="H231" s="82">
        <v>2.4348</v>
      </c>
      <c r="I231" s="82">
        <v>2.8805</v>
      </c>
      <c r="K231" s="80"/>
      <c r="L231" s="80"/>
      <c r="M231" s="80"/>
      <c r="N231" s="80"/>
    </row>
    <row r="232" spans="3:14" ht="15" customHeight="1">
      <c r="C232" s="82">
        <v>0.3</v>
      </c>
      <c r="D232" s="82">
        <v>-0.1406</v>
      </c>
      <c r="E232" s="82">
        <v>0.7547</v>
      </c>
      <c r="F232" s="82">
        <v>1.3183</v>
      </c>
      <c r="G232" s="82">
        <v>1.8414</v>
      </c>
      <c r="H232" s="82">
        <v>2.5316</v>
      </c>
      <c r="I232" s="82">
        <v>2.9866</v>
      </c>
      <c r="K232" s="80"/>
      <c r="L232" s="80"/>
      <c r="M232" s="80"/>
      <c r="N232" s="80"/>
    </row>
    <row r="233" spans="3:14" ht="15" customHeight="1">
      <c r="C233" s="82">
        <v>0.35</v>
      </c>
      <c r="D233" s="82">
        <v>-0.1604</v>
      </c>
      <c r="E233" s="82">
        <v>0.7333</v>
      </c>
      <c r="F233" s="82">
        <v>1.3126</v>
      </c>
      <c r="G233" s="82">
        <v>1.8602</v>
      </c>
      <c r="H233" s="82">
        <v>2.5638</v>
      </c>
      <c r="I233" s="82">
        <v>3.089</v>
      </c>
      <c r="K233" s="80"/>
      <c r="L233" s="80"/>
      <c r="M233" s="80"/>
      <c r="N233" s="80"/>
    </row>
    <row r="234" spans="3:14" ht="12.75" customHeight="1">
      <c r="C234" s="82">
        <v>0.4</v>
      </c>
      <c r="D234" s="82">
        <v>-0.1788</v>
      </c>
      <c r="E234" s="82">
        <v>0.71</v>
      </c>
      <c r="F234" s="82">
        <v>1.3037</v>
      </c>
      <c r="G234" s="82">
        <v>1.8746</v>
      </c>
      <c r="H234" s="82">
        <v>2.6212</v>
      </c>
      <c r="I234" s="82">
        <v>3.187</v>
      </c>
      <c r="K234" s="80"/>
      <c r="L234" s="80"/>
      <c r="M234" s="80"/>
      <c r="N234" s="80"/>
    </row>
    <row r="235" spans="3:14" ht="12.75" customHeight="1">
      <c r="C235" s="79">
        <v>0.45</v>
      </c>
      <c r="D235" s="79">
        <v>-0.1957</v>
      </c>
      <c r="E235" s="79">
        <v>0.687</v>
      </c>
      <c r="F235" s="79">
        <v>1.292</v>
      </c>
      <c r="G235" s="79">
        <v>1.8848</v>
      </c>
      <c r="H235" s="79">
        <v>2.6734</v>
      </c>
      <c r="I235" s="79">
        <v>3.2109</v>
      </c>
      <c r="K235" s="80"/>
      <c r="L235" s="80"/>
      <c r="M235" s="80"/>
      <c r="N235" s="80"/>
    </row>
    <row r="236" spans="3:9" ht="15">
      <c r="C236" s="79">
        <v>0.5</v>
      </c>
      <c r="D236" s="79">
        <v>-0.2111</v>
      </c>
      <c r="E236" s="79">
        <v>0.6626</v>
      </c>
      <c r="F236" s="79">
        <v>1.2778</v>
      </c>
      <c r="G236" s="79">
        <v>1.8909</v>
      </c>
      <c r="H236" s="79">
        <v>2.7202</v>
      </c>
      <c r="I236" s="79">
        <v>3.3673</v>
      </c>
    </row>
    <row r="237" spans="3:9" ht="15">
      <c r="C237" s="79">
        <v>0.55</v>
      </c>
      <c r="D237" s="79">
        <v>-0.2251</v>
      </c>
      <c r="E237" s="79">
        <v>0.6129</v>
      </c>
      <c r="F237" s="79">
        <v>1.2513</v>
      </c>
      <c r="G237" s="79">
        <v>1.8931</v>
      </c>
      <c r="H237" s="79">
        <v>2.7615</v>
      </c>
      <c r="I237" s="79">
        <v>3.4488</v>
      </c>
    </row>
    <row r="238" spans="3:9" ht="15">
      <c r="C238" s="82">
        <v>0.6</v>
      </c>
      <c r="D238" s="82">
        <v>-0.2375</v>
      </c>
      <c r="E238" s="82">
        <v>0.5879</v>
      </c>
      <c r="F238" s="82">
        <v>1.2428</v>
      </c>
      <c r="G238" s="82">
        <v>1.8916</v>
      </c>
      <c r="H238" s="82">
        <v>2.7974</v>
      </c>
      <c r="I238" s="82">
        <v>3.5241</v>
      </c>
    </row>
    <row r="239" spans="3:9" ht="15">
      <c r="C239" s="82">
        <v>0.65</v>
      </c>
      <c r="D239" s="82">
        <v>-0.2485</v>
      </c>
      <c r="E239" s="82">
        <v>0.5879</v>
      </c>
      <c r="F239" s="82">
        <v>1.2226</v>
      </c>
      <c r="G239" s="82">
        <v>1.8866</v>
      </c>
      <c r="H239" s="82">
        <v>2.8279</v>
      </c>
      <c r="I239" s="82">
        <v>3.593</v>
      </c>
    </row>
    <row r="240" spans="3:9" ht="15">
      <c r="C240" s="82">
        <v>0.7</v>
      </c>
      <c r="D240" s="82">
        <v>-0.2582</v>
      </c>
      <c r="E240" s="82">
        <v>0.5631</v>
      </c>
      <c r="F240" s="82">
        <v>1.2011</v>
      </c>
      <c r="G240" s="82">
        <v>1.8786</v>
      </c>
      <c r="H240" s="82">
        <v>2.8532</v>
      </c>
      <c r="I240" s="82">
        <v>3.6568</v>
      </c>
    </row>
    <row r="241" spans="3:9" ht="15">
      <c r="C241" s="82">
        <v>0.75</v>
      </c>
      <c r="D241" s="82">
        <v>-0.2667</v>
      </c>
      <c r="E241" s="82">
        <v>0.5387</v>
      </c>
      <c r="F241" s="82">
        <v>1.1784</v>
      </c>
      <c r="G241" s="82">
        <v>1.8577</v>
      </c>
      <c r="H241" s="82">
        <v>2.8735</v>
      </c>
      <c r="I241" s="82">
        <v>3.7118</v>
      </c>
    </row>
    <row r="242" spans="3:9" ht="15">
      <c r="C242" s="82">
        <v>0.8</v>
      </c>
      <c r="D242" s="82">
        <v>-0.2739</v>
      </c>
      <c r="E242" s="82">
        <v>0.5148</v>
      </c>
      <c r="F242" s="82">
        <v>1.1548</v>
      </c>
      <c r="G242" s="82">
        <v>1.8543</v>
      </c>
      <c r="H242" s="82">
        <v>2.8891</v>
      </c>
      <c r="I242" s="82">
        <v>3.7617</v>
      </c>
    </row>
    <row r="243" spans="3:9" ht="15">
      <c r="C243" s="82">
        <v>0.85</v>
      </c>
      <c r="D243" s="82">
        <v>-0.2801</v>
      </c>
      <c r="E243" s="82">
        <v>0.4914</v>
      </c>
      <c r="F243" s="82">
        <v>1.1306</v>
      </c>
      <c r="G243" s="82">
        <v>1.8388</v>
      </c>
      <c r="H243" s="82">
        <v>2.9002</v>
      </c>
      <c r="I243" s="82">
        <v>3.8056</v>
      </c>
    </row>
    <row r="244" spans="3:9" ht="15">
      <c r="C244" s="82">
        <v>0.9</v>
      </c>
      <c r="D244" s="82">
        <v>-0.2852</v>
      </c>
      <c r="E244" s="82">
        <v>0.4886</v>
      </c>
      <c r="F244" s="82">
        <v>1.106</v>
      </c>
      <c r="G244" s="82">
        <v>1.8212</v>
      </c>
      <c r="H244" s="82">
        <v>2.9071</v>
      </c>
      <c r="I244" s="82">
        <v>3.8437</v>
      </c>
    </row>
    <row r="245" spans="3:9" ht="15">
      <c r="C245" s="82">
        <v>0.95</v>
      </c>
      <c r="D245" s="82">
        <v>-0.2895</v>
      </c>
      <c r="E245" s="82">
        <v>0.4466</v>
      </c>
      <c r="F245" s="82">
        <v>1.081</v>
      </c>
      <c r="G245" s="82">
        <v>1.8021</v>
      </c>
      <c r="H245" s="82">
        <v>2.9102</v>
      </c>
      <c r="I245" s="82">
        <v>3.8762</v>
      </c>
    </row>
    <row r="246" spans="3:9" ht="15">
      <c r="C246" s="83">
        <v>1</v>
      </c>
      <c r="D246" s="83">
        <v>-0.2929</v>
      </c>
      <c r="E246" s="83">
        <v>0.4254</v>
      </c>
      <c r="F246" s="83">
        <v>1.056</v>
      </c>
      <c r="G246" s="83">
        <v>1.7815</v>
      </c>
      <c r="H246" s="83">
        <v>2.9098</v>
      </c>
      <c r="I246" s="83">
        <v>3.9036</v>
      </c>
    </row>
    <row r="251" ht="15.75">
      <c r="C251" s="62" t="s">
        <v>81</v>
      </c>
    </row>
    <row r="252" spans="3:14" ht="15">
      <c r="C252" s="71" t="s">
        <v>79</v>
      </c>
      <c r="D252" s="296" t="s">
        <v>78</v>
      </c>
      <c r="E252" s="297"/>
      <c r="F252" s="297"/>
      <c r="G252" s="297"/>
      <c r="H252" s="297"/>
      <c r="I252" s="297"/>
      <c r="J252" s="297"/>
      <c r="K252" s="297"/>
      <c r="L252" s="297"/>
      <c r="M252" s="297"/>
      <c r="N252" s="298"/>
    </row>
    <row r="253" spans="3:14" ht="15">
      <c r="C253" s="77" t="s">
        <v>80</v>
      </c>
      <c r="D253" s="66">
        <v>1.0101</v>
      </c>
      <c r="E253" s="66">
        <v>1.0526</v>
      </c>
      <c r="F253" s="66">
        <v>1.1111</v>
      </c>
      <c r="G253" s="66">
        <v>1.25</v>
      </c>
      <c r="H253" s="66">
        <v>2</v>
      </c>
      <c r="I253" s="66">
        <v>5</v>
      </c>
      <c r="J253" s="66">
        <v>10</v>
      </c>
      <c r="K253" s="66">
        <v>25</v>
      </c>
      <c r="L253" s="66">
        <v>50</v>
      </c>
      <c r="M253" s="66">
        <v>100</v>
      </c>
      <c r="N253" s="66">
        <v>200</v>
      </c>
    </row>
    <row r="254" spans="3:14" ht="15">
      <c r="C254" s="82">
        <v>3</v>
      </c>
      <c r="D254" s="82">
        <v>-0.667</v>
      </c>
      <c r="E254" s="82">
        <v>-0.665</v>
      </c>
      <c r="F254" s="82">
        <v>-0.666</v>
      </c>
      <c r="G254" s="82">
        <v>-0.636</v>
      </c>
      <c r="H254" s="82">
        <v>-0.396</v>
      </c>
      <c r="I254" s="82">
        <v>0.42</v>
      </c>
      <c r="J254" s="82">
        <v>1.18</v>
      </c>
      <c r="K254" s="82">
        <v>2.278</v>
      </c>
      <c r="L254" s="82">
        <v>3.152</v>
      </c>
      <c r="M254" s="82">
        <v>4.054</v>
      </c>
      <c r="N254" s="82">
        <v>4.976</v>
      </c>
    </row>
    <row r="255" spans="3:14" ht="15">
      <c r="C255" s="82">
        <v>2.9</v>
      </c>
      <c r="D255" s="82">
        <v>-0.69</v>
      </c>
      <c r="E255" s="82">
        <v>-0.688</v>
      </c>
      <c r="F255" s="82">
        <v>-0.681</v>
      </c>
      <c r="G255" s="82">
        <v>-0.651</v>
      </c>
      <c r="H255" s="82">
        <v>-0.39</v>
      </c>
      <c r="I255" s="82">
        <v>0.44</v>
      </c>
      <c r="J255" s="82">
        <v>1.195</v>
      </c>
      <c r="K255" s="82">
        <v>2.277</v>
      </c>
      <c r="L255" s="82">
        <v>3.134</v>
      </c>
      <c r="M255" s="82">
        <v>4.012</v>
      </c>
      <c r="N255" s="82">
        <v>4.909</v>
      </c>
    </row>
    <row r="256" spans="3:14" ht="15">
      <c r="C256" s="82">
        <v>2.8</v>
      </c>
      <c r="D256" s="82">
        <v>-0.714</v>
      </c>
      <c r="E256" s="82">
        <v>-0.711</v>
      </c>
      <c r="F256" s="82">
        <v>-0.702</v>
      </c>
      <c r="G256" s="82">
        <v>-0.666</v>
      </c>
      <c r="H256" s="82">
        <v>-0.384</v>
      </c>
      <c r="I256" s="82">
        <v>0.46</v>
      </c>
      <c r="J256" s="82">
        <v>1.21</v>
      </c>
      <c r="K256" s="82">
        <v>2.275</v>
      </c>
      <c r="L256" s="82">
        <v>3.114</v>
      </c>
      <c r="M256" s="82">
        <v>3.973</v>
      </c>
      <c r="N256" s="82">
        <v>4.847</v>
      </c>
    </row>
    <row r="257" spans="3:14" ht="15">
      <c r="C257" s="82">
        <v>2.7</v>
      </c>
      <c r="D257" s="82">
        <v>-0.769</v>
      </c>
      <c r="E257" s="82">
        <v>-0.736</v>
      </c>
      <c r="F257" s="82">
        <v>-0.725</v>
      </c>
      <c r="G257" s="82">
        <v>-0.681</v>
      </c>
      <c r="H257" s="82">
        <v>-0.376</v>
      </c>
      <c r="I257" s="82">
        <v>0.479</v>
      </c>
      <c r="J257" s="82">
        <v>1.224</v>
      </c>
      <c r="K257" s="82">
        <v>2.272</v>
      </c>
      <c r="L257" s="82">
        <v>3.093</v>
      </c>
      <c r="M257" s="82">
        <v>3.932</v>
      </c>
      <c r="N257" s="82">
        <v>4.783</v>
      </c>
    </row>
    <row r="258" spans="3:14" ht="15">
      <c r="C258" s="82">
        <v>2.6</v>
      </c>
      <c r="D258" s="82">
        <v>-0.799</v>
      </c>
      <c r="E258" s="82">
        <v>-0.762</v>
      </c>
      <c r="F258" s="82">
        <v>-0.747</v>
      </c>
      <c r="G258" s="82">
        <v>-0.696</v>
      </c>
      <c r="H258" s="82">
        <v>-0.368</v>
      </c>
      <c r="I258" s="82">
        <v>0.499</v>
      </c>
      <c r="J258" s="82">
        <v>1.236</v>
      </c>
      <c r="K258" s="82">
        <v>2.267</v>
      </c>
      <c r="L258" s="82">
        <v>3.072</v>
      </c>
      <c r="M258" s="82">
        <v>3.889</v>
      </c>
      <c r="N258" s="82">
        <v>4.718</v>
      </c>
    </row>
    <row r="259" spans="3:14" ht="15">
      <c r="C259" s="82">
        <v>2.5</v>
      </c>
      <c r="D259" s="82">
        <v>-0.812</v>
      </c>
      <c r="E259" s="82">
        <v>-0.79</v>
      </c>
      <c r="F259" s="82">
        <v>-0.771</v>
      </c>
      <c r="G259" s="82">
        <v>-0.711</v>
      </c>
      <c r="H259" s="82">
        <v>-0.36</v>
      </c>
      <c r="I259" s="82">
        <v>0.518</v>
      </c>
      <c r="J259" s="82">
        <v>1.25</v>
      </c>
      <c r="K259" s="82">
        <v>2.262</v>
      </c>
      <c r="L259" s="82">
        <v>3.048</v>
      </c>
      <c r="M259" s="82">
        <v>3.845</v>
      </c>
      <c r="N259" s="82">
        <v>4.652</v>
      </c>
    </row>
    <row r="260" spans="3:14" ht="15">
      <c r="C260" s="82">
        <v>2.4</v>
      </c>
      <c r="D260" s="82">
        <v>-0.867</v>
      </c>
      <c r="E260" s="82">
        <v>-0.819</v>
      </c>
      <c r="F260" s="82">
        <v>-0.798</v>
      </c>
      <c r="G260" s="82">
        <v>-0.725</v>
      </c>
      <c r="H260" s="82">
        <v>-0.351</v>
      </c>
      <c r="I260" s="82">
        <v>0.537</v>
      </c>
      <c r="J260" s="82">
        <v>1.262</v>
      </c>
      <c r="K260" s="82">
        <v>2.256</v>
      </c>
      <c r="L260" s="82">
        <v>3.029</v>
      </c>
      <c r="M260" s="82">
        <v>3.8</v>
      </c>
      <c r="N260" s="82">
        <v>4.584</v>
      </c>
    </row>
    <row r="261" spans="3:14" ht="15">
      <c r="C261" s="82">
        <v>2.3</v>
      </c>
      <c r="D261" s="82">
        <v>-0.905</v>
      </c>
      <c r="E261" s="82">
        <v>-0.85</v>
      </c>
      <c r="F261" s="82">
        <v>-0.819</v>
      </c>
      <c r="G261" s="82">
        <v>-0.739</v>
      </c>
      <c r="H261" s="82">
        <v>-0.341</v>
      </c>
      <c r="I261" s="82">
        <v>0.555</v>
      </c>
      <c r="J261" s="82">
        <v>1.274</v>
      </c>
      <c r="K261" s="82">
        <v>2.248</v>
      </c>
      <c r="L261" s="82">
        <v>2.997</v>
      </c>
      <c r="M261" s="82">
        <v>3.753</v>
      </c>
      <c r="N261" s="82">
        <v>4.515</v>
      </c>
    </row>
    <row r="262" spans="3:14" ht="15">
      <c r="C262" s="82">
        <v>2.2</v>
      </c>
      <c r="D262" s="82">
        <v>-0.946</v>
      </c>
      <c r="E262" s="82">
        <v>-0.882</v>
      </c>
      <c r="F262" s="82">
        <v>-0.844</v>
      </c>
      <c r="G262" s="82">
        <v>-0.752</v>
      </c>
      <c r="H262" s="82">
        <v>-0.33</v>
      </c>
      <c r="I262" s="82">
        <v>0.574</v>
      </c>
      <c r="J262" s="82">
        <v>1.284</v>
      </c>
      <c r="K262" s="82">
        <v>2.24</v>
      </c>
      <c r="L262" s="82">
        <v>2.97</v>
      </c>
      <c r="M262" s="82">
        <v>3.705</v>
      </c>
      <c r="N262" s="82">
        <v>4.454</v>
      </c>
    </row>
    <row r="263" spans="3:14" ht="15">
      <c r="C263" s="82">
        <v>2.1</v>
      </c>
      <c r="D263" s="82">
        <v>-0.99</v>
      </c>
      <c r="E263" s="82">
        <v>-0.914</v>
      </c>
      <c r="F263" s="82">
        <v>-0.869</v>
      </c>
      <c r="G263" s="82">
        <v>-0.785</v>
      </c>
      <c r="H263" s="82">
        <v>-0.319</v>
      </c>
      <c r="I263" s="82">
        <v>0.592</v>
      </c>
      <c r="J263" s="82">
        <v>1.294</v>
      </c>
      <c r="K263" s="82">
        <v>2.23</v>
      </c>
      <c r="L263" s="82">
        <v>2.942</v>
      </c>
      <c r="M263" s="82">
        <v>3.656</v>
      </c>
      <c r="N263" s="82">
        <v>4.372</v>
      </c>
    </row>
    <row r="264" spans="3:14" ht="15">
      <c r="C264" s="82">
        <v>2</v>
      </c>
      <c r="D264" s="82">
        <v>-1.037</v>
      </c>
      <c r="E264" s="82">
        <v>-0.949</v>
      </c>
      <c r="F264" s="82">
        <v>-0.895</v>
      </c>
      <c r="G264" s="82">
        <v>-0.777</v>
      </c>
      <c r="H264" s="82">
        <v>-0.307</v>
      </c>
      <c r="I264" s="82">
        <v>0.609</v>
      </c>
      <c r="J264" s="82">
        <v>1.302</v>
      </c>
      <c r="K264" s="82">
        <v>2.219</v>
      </c>
      <c r="L264" s="82">
        <v>2.912</v>
      </c>
      <c r="M264" s="82">
        <v>3.605</v>
      </c>
      <c r="N264" s="82">
        <v>4.298</v>
      </c>
    </row>
    <row r="265" spans="3:18" ht="15" customHeight="1">
      <c r="C265" s="82">
        <v>1.9</v>
      </c>
      <c r="D265" s="82">
        <v>-1.037</v>
      </c>
      <c r="E265" s="82">
        <v>-0.984</v>
      </c>
      <c r="F265" s="82">
        <v>-0.92</v>
      </c>
      <c r="G265" s="82">
        <v>-0.788</v>
      </c>
      <c r="H265" s="82">
        <v>-0.294</v>
      </c>
      <c r="I265" s="82">
        <v>0.627</v>
      </c>
      <c r="J265" s="82">
        <v>1.31</v>
      </c>
      <c r="K265" s="82">
        <v>2.207</v>
      </c>
      <c r="L265" s="82">
        <v>2.881</v>
      </c>
      <c r="M265" s="82">
        <v>3.553</v>
      </c>
      <c r="N265" s="82">
        <v>4.224</v>
      </c>
      <c r="O265" s="84"/>
      <c r="P265" s="85"/>
      <c r="Q265" s="85"/>
      <c r="R265" s="85"/>
    </row>
    <row r="266" spans="3:18" ht="14.25" customHeight="1">
      <c r="C266" s="82">
        <v>1.8</v>
      </c>
      <c r="D266" s="82">
        <v>-1.087</v>
      </c>
      <c r="E266" s="82">
        <v>-1.02</v>
      </c>
      <c r="F266" s="82">
        <v>-0.945</v>
      </c>
      <c r="G266" s="82">
        <v>-0.799</v>
      </c>
      <c r="H266" s="82">
        <v>-0.282</v>
      </c>
      <c r="I266" s="82">
        <v>0.643</v>
      </c>
      <c r="J266" s="82">
        <v>1.318</v>
      </c>
      <c r="K266" s="82">
        <v>2.193</v>
      </c>
      <c r="L266" s="82">
        <v>2.848</v>
      </c>
      <c r="M266" s="82">
        <v>3.499</v>
      </c>
      <c r="N266" s="82">
        <v>4.147</v>
      </c>
      <c r="O266" s="84"/>
      <c r="P266" s="85"/>
      <c r="Q266" s="85"/>
      <c r="R266" s="85"/>
    </row>
    <row r="267" spans="3:18" ht="14.25" customHeight="1">
      <c r="C267" s="82">
        <v>1.7</v>
      </c>
      <c r="D267" s="82">
        <v>-1.14</v>
      </c>
      <c r="E267" s="82">
        <v>-1.056</v>
      </c>
      <c r="F267" s="82">
        <v>-0.97</v>
      </c>
      <c r="G267" s="82">
        <v>-0.808</v>
      </c>
      <c r="H267" s="82">
        <v>-0.268</v>
      </c>
      <c r="I267" s="82">
        <v>0.66</v>
      </c>
      <c r="J267" s="82">
        <v>1.324</v>
      </c>
      <c r="K267" s="82">
        <v>2.179</v>
      </c>
      <c r="L267" s="82">
        <v>2.815</v>
      </c>
      <c r="M267" s="82">
        <v>3.444</v>
      </c>
      <c r="N267" s="82">
        <v>4.065</v>
      </c>
      <c r="O267" s="84"/>
      <c r="P267" s="85"/>
      <c r="Q267" s="85"/>
      <c r="R267" s="85"/>
    </row>
    <row r="268" spans="3:18" ht="14.25" customHeight="1">
      <c r="C268" s="82">
        <v>1.6</v>
      </c>
      <c r="D268" s="82">
        <v>-1.197</v>
      </c>
      <c r="E268" s="82">
        <v>-1.093</v>
      </c>
      <c r="F268" s="82">
        <v>-0.994</v>
      </c>
      <c r="G268" s="82">
        <v>-0.817</v>
      </c>
      <c r="H268" s="82">
        <v>-0.254</v>
      </c>
      <c r="I268" s="82">
        <v>0.675</v>
      </c>
      <c r="J268" s="82">
        <v>1.329</v>
      </c>
      <c r="K268" s="82">
        <v>2.163</v>
      </c>
      <c r="L268" s="82">
        <v>2.78</v>
      </c>
      <c r="M268" s="82">
        <v>3.386</v>
      </c>
      <c r="N268" s="82">
        <v>3.99</v>
      </c>
      <c r="O268" s="84"/>
      <c r="P268" s="85"/>
      <c r="Q268" s="85"/>
      <c r="R268" s="85"/>
    </row>
    <row r="269" spans="3:18" ht="14.25" customHeight="1">
      <c r="C269" s="82">
        <v>1.5</v>
      </c>
      <c r="D269" s="82">
        <v>-1.256</v>
      </c>
      <c r="E269" s="82">
        <v>-1.131</v>
      </c>
      <c r="F269" s="82">
        <v>-1.018</v>
      </c>
      <c r="G269" s="82">
        <v>-0.825</v>
      </c>
      <c r="H269" s="82">
        <v>-0.24</v>
      </c>
      <c r="I269" s="82">
        <v>0.69</v>
      </c>
      <c r="J269" s="82">
        <v>1.333</v>
      </c>
      <c r="K269" s="82">
        <v>2.146</v>
      </c>
      <c r="L269" s="82">
        <v>2.745</v>
      </c>
      <c r="M269" s="82">
        <v>3.33</v>
      </c>
      <c r="N269" s="82">
        <v>3.91</v>
      </c>
      <c r="O269" s="84"/>
      <c r="P269" s="85"/>
      <c r="Q269" s="85"/>
      <c r="R269" s="85"/>
    </row>
    <row r="270" spans="3:18" ht="14.25" customHeight="1">
      <c r="C270" s="82">
        <v>1.4</v>
      </c>
      <c r="D270" s="82">
        <v>-1.318</v>
      </c>
      <c r="E270" s="82">
        <v>-1.163</v>
      </c>
      <c r="F270" s="82">
        <v>-1.041</v>
      </c>
      <c r="G270" s="82">
        <v>-0.832</v>
      </c>
      <c r="H270" s="82">
        <v>-0.225</v>
      </c>
      <c r="I270" s="82">
        <v>0.705</v>
      </c>
      <c r="J270" s="82">
        <v>1.337</v>
      </c>
      <c r="K270" s="82">
        <v>2.128</v>
      </c>
      <c r="L270" s="82">
        <v>2.706</v>
      </c>
      <c r="M270" s="82">
        <v>3.271</v>
      </c>
      <c r="N270" s="82">
        <v>3.721</v>
      </c>
      <c r="O270" s="84"/>
      <c r="P270" s="85"/>
      <c r="Q270" s="85"/>
      <c r="R270" s="85"/>
    </row>
    <row r="271" spans="3:18" ht="14.25" customHeight="1">
      <c r="C271" s="82">
        <v>1.3</v>
      </c>
      <c r="D271" s="82">
        <v>-1.383</v>
      </c>
      <c r="E271" s="82">
        <v>-1.206</v>
      </c>
      <c r="F271" s="82">
        <v>-1.064</v>
      </c>
      <c r="G271" s="82">
        <v>-0.838</v>
      </c>
      <c r="H271" s="82">
        <v>-0.21</v>
      </c>
      <c r="I271" s="82">
        <v>0.719</v>
      </c>
      <c r="J271" s="82">
        <v>1.339</v>
      </c>
      <c r="K271" s="82">
        <v>2.108</v>
      </c>
      <c r="L271" s="82">
        <v>2.666</v>
      </c>
      <c r="M271" s="82">
        <v>3.211</v>
      </c>
      <c r="N271" s="82">
        <v>3.765</v>
      </c>
      <c r="O271" s="84"/>
      <c r="P271" s="85"/>
      <c r="Q271" s="85"/>
      <c r="R271" s="85"/>
    </row>
    <row r="272" spans="3:18" ht="14.25" customHeight="1">
      <c r="C272" s="82">
        <v>1.2</v>
      </c>
      <c r="D272" s="82">
        <v>-1.449</v>
      </c>
      <c r="E272" s="82">
        <v>-1.243</v>
      </c>
      <c r="F272" s="82">
        <v>-1.086</v>
      </c>
      <c r="G272" s="82">
        <v>-0.844</v>
      </c>
      <c r="H272" s="82">
        <v>-0.195</v>
      </c>
      <c r="I272" s="82">
        <v>0.732</v>
      </c>
      <c r="J272" s="82">
        <v>1.34</v>
      </c>
      <c r="K272" s="82">
        <v>2.087</v>
      </c>
      <c r="L272" s="82">
        <v>2.626</v>
      </c>
      <c r="M272" s="82">
        <v>3.149</v>
      </c>
      <c r="N272" s="82">
        <v>3.661</v>
      </c>
      <c r="O272" s="84"/>
      <c r="P272" s="85"/>
      <c r="Q272" s="85"/>
      <c r="R272" s="85"/>
    </row>
    <row r="273" spans="3:18" ht="12.75" customHeight="1">
      <c r="C273" s="82">
        <v>1.1</v>
      </c>
      <c r="D273" s="82">
        <v>-1.518</v>
      </c>
      <c r="E273" s="82">
        <v>-1.28</v>
      </c>
      <c r="F273" s="82">
        <v>-1.107</v>
      </c>
      <c r="G273" s="82">
        <v>-0.848</v>
      </c>
      <c r="H273" s="82">
        <v>-0.18</v>
      </c>
      <c r="I273" s="82">
        <v>0.745</v>
      </c>
      <c r="J273" s="82">
        <v>1.341</v>
      </c>
      <c r="K273" s="82">
        <v>20.66</v>
      </c>
      <c r="L273" s="82">
        <v>2.585</v>
      </c>
      <c r="M273" s="82">
        <v>3.087</v>
      </c>
      <c r="N273" s="82">
        <v>3.575</v>
      </c>
      <c r="O273" s="84"/>
      <c r="P273" s="85"/>
      <c r="Q273" s="85"/>
      <c r="R273" s="85"/>
    </row>
    <row r="274" spans="3:18" ht="12.75" customHeight="1">
      <c r="C274" s="82">
        <v>1</v>
      </c>
      <c r="D274" s="82">
        <v>-1.588</v>
      </c>
      <c r="E274" s="82">
        <v>-1.317</v>
      </c>
      <c r="F274" s="82">
        <v>-1.128</v>
      </c>
      <c r="G274" s="82">
        <v>-0.852</v>
      </c>
      <c r="H274" s="82">
        <v>-0.164</v>
      </c>
      <c r="I274" s="82">
        <v>0.758</v>
      </c>
      <c r="J274" s="82">
        <v>1.34</v>
      </c>
      <c r="K274" s="82">
        <v>2.043</v>
      </c>
      <c r="L274" s="82">
        <v>2.542</v>
      </c>
      <c r="M274" s="82">
        <v>3.022</v>
      </c>
      <c r="N274" s="82">
        <v>3.489</v>
      </c>
      <c r="O274" s="84"/>
      <c r="P274" s="85"/>
      <c r="Q274" s="85"/>
      <c r="R274" s="85"/>
    </row>
    <row r="275" spans="3:18" ht="12.75" customHeight="1">
      <c r="C275" s="82">
        <v>0.9</v>
      </c>
      <c r="D275" s="82">
        <v>-1.66</v>
      </c>
      <c r="E275" s="82">
        <v>-1.353</v>
      </c>
      <c r="F275" s="82">
        <v>-1.147</v>
      </c>
      <c r="G275" s="82">
        <v>-0.854</v>
      </c>
      <c r="H275" s="82">
        <v>-0.148</v>
      </c>
      <c r="I275" s="82">
        <v>0.769</v>
      </c>
      <c r="J275" s="82">
        <v>1.339</v>
      </c>
      <c r="K275" s="82">
        <v>2.019</v>
      </c>
      <c r="L275" s="82">
        <v>2.498</v>
      </c>
      <c r="M275" s="82">
        <v>2.957</v>
      </c>
      <c r="N275" s="82">
        <v>3.401</v>
      </c>
      <c r="O275" s="84"/>
      <c r="P275" s="85"/>
      <c r="Q275" s="85"/>
      <c r="R275" s="85"/>
    </row>
    <row r="276" spans="3:14" ht="15">
      <c r="C276" s="82">
        <v>0.8</v>
      </c>
      <c r="D276" s="82">
        <v>-1.733</v>
      </c>
      <c r="E276" s="82">
        <v>-1.388</v>
      </c>
      <c r="F276" s="82">
        <v>-1.166</v>
      </c>
      <c r="G276" s="82">
        <v>-0.856</v>
      </c>
      <c r="H276" s="82">
        <v>-0.132</v>
      </c>
      <c r="I276" s="82">
        <v>0.78</v>
      </c>
      <c r="J276" s="82">
        <v>1.336</v>
      </c>
      <c r="K276" s="82">
        <v>1.993</v>
      </c>
      <c r="L276" s="82">
        <v>2.453</v>
      </c>
      <c r="M276" s="82">
        <v>2.891</v>
      </c>
      <c r="N276" s="82">
        <v>3.312</v>
      </c>
    </row>
    <row r="277" spans="3:14" ht="15">
      <c r="C277" s="82">
        <v>0.7</v>
      </c>
      <c r="D277" s="82">
        <v>-1.806</v>
      </c>
      <c r="E277" s="82">
        <v>-1.423</v>
      </c>
      <c r="F277" s="82">
        <v>-1.183</v>
      </c>
      <c r="G277" s="82">
        <v>-0.857</v>
      </c>
      <c r="H277" s="82">
        <v>-0.116</v>
      </c>
      <c r="I277" s="82">
        <v>0.79</v>
      </c>
      <c r="J277" s="82">
        <v>1.333</v>
      </c>
      <c r="K277" s="82">
        <v>1.967</v>
      </c>
      <c r="L277" s="82">
        <v>2.407</v>
      </c>
      <c r="M277" s="82">
        <v>2.874</v>
      </c>
      <c r="N277" s="82">
        <v>3.223</v>
      </c>
    </row>
    <row r="278" spans="3:14" ht="15">
      <c r="C278" s="82">
        <v>0.6</v>
      </c>
      <c r="D278" s="82">
        <v>-1.88</v>
      </c>
      <c r="E278" s="82">
        <v>-1.455</v>
      </c>
      <c r="F278" s="82">
        <v>-1.209</v>
      </c>
      <c r="G278" s="82">
        <v>-0.857</v>
      </c>
      <c r="H278" s="82">
        <v>-0.099</v>
      </c>
      <c r="I278" s="82">
        <v>0.8</v>
      </c>
      <c r="J278" s="82">
        <v>1.328</v>
      </c>
      <c r="K278" s="82">
        <v>1.939</v>
      </c>
      <c r="L278" s="82">
        <v>2.359</v>
      </c>
      <c r="M278" s="82">
        <v>2.755</v>
      </c>
      <c r="N278" s="82">
        <v>3.132</v>
      </c>
    </row>
    <row r="279" spans="3:14" ht="15">
      <c r="C279" s="82">
        <v>0.5</v>
      </c>
      <c r="D279" s="82">
        <v>-1.955</v>
      </c>
      <c r="E279" s="82">
        <v>-1.491</v>
      </c>
      <c r="F279" s="82">
        <v>-1.216</v>
      </c>
      <c r="G279" s="82">
        <v>-0.856</v>
      </c>
      <c r="H279" s="82">
        <v>-0.083</v>
      </c>
      <c r="I279" s="82">
        <v>0.808</v>
      </c>
      <c r="J279" s="82">
        <v>1.323</v>
      </c>
      <c r="K279" s="82">
        <v>1.91</v>
      </c>
      <c r="L279" s="82">
        <v>2.311</v>
      </c>
      <c r="M279" s="82">
        <v>2.686</v>
      </c>
      <c r="N279" s="82">
        <v>3.041</v>
      </c>
    </row>
    <row r="280" spans="3:14" ht="15">
      <c r="C280" s="82">
        <v>0.4</v>
      </c>
      <c r="D280" s="82">
        <v>-2.029</v>
      </c>
      <c r="E280" s="82">
        <v>-1.524</v>
      </c>
      <c r="F280" s="82">
        <v>-1.231</v>
      </c>
      <c r="G280" s="82">
        <v>-0.855</v>
      </c>
      <c r="H280" s="82">
        <v>-0.066</v>
      </c>
      <c r="I280" s="82">
        <v>0.816</v>
      </c>
      <c r="J280" s="82">
        <v>1.317</v>
      </c>
      <c r="K280" s="82">
        <v>1.88</v>
      </c>
      <c r="L280" s="82">
        <v>2.261</v>
      </c>
      <c r="M280" s="82">
        <v>2.615</v>
      </c>
      <c r="N280" s="82">
        <v>2.949</v>
      </c>
    </row>
    <row r="281" spans="3:14" ht="15">
      <c r="C281" s="82">
        <v>0.3</v>
      </c>
      <c r="D281" s="82">
        <v>-2.104</v>
      </c>
      <c r="E281" s="82">
        <v>-1.555</v>
      </c>
      <c r="F281" s="82">
        <v>-1.245</v>
      </c>
      <c r="G281" s="82">
        <v>-0.853</v>
      </c>
      <c r="H281" s="82">
        <v>-0.05</v>
      </c>
      <c r="I281" s="82">
        <v>0.824</v>
      </c>
      <c r="J281" s="82">
        <v>1.309</v>
      </c>
      <c r="K281" s="82">
        <v>1.849</v>
      </c>
      <c r="L281" s="82">
        <v>2.211</v>
      </c>
      <c r="M281" s="82">
        <v>2.544</v>
      </c>
      <c r="N281" s="82">
        <v>2.856</v>
      </c>
    </row>
    <row r="282" spans="3:14" ht="15">
      <c r="C282" s="82">
        <v>0.2</v>
      </c>
      <c r="D282" s="82">
        <v>-2.176</v>
      </c>
      <c r="E282" s="82">
        <v>-1.586</v>
      </c>
      <c r="F282" s="82">
        <v>-1.258</v>
      </c>
      <c r="G282" s="82">
        <v>-0.85</v>
      </c>
      <c r="H282" s="82">
        <v>-0.033</v>
      </c>
      <c r="I282" s="82">
        <v>0.83</v>
      </c>
      <c r="J282" s="82">
        <v>1.301</v>
      </c>
      <c r="K282" s="82">
        <v>1.818</v>
      </c>
      <c r="L282" s="82">
        <v>2.159</v>
      </c>
      <c r="M282" s="82">
        <v>2.472</v>
      </c>
      <c r="N282" s="82">
        <v>2.763</v>
      </c>
    </row>
    <row r="283" spans="3:14" ht="15">
      <c r="C283" s="82">
        <v>0.1</v>
      </c>
      <c r="D283" s="82">
        <v>-2.252</v>
      </c>
      <c r="E283" s="82">
        <v>-1.616</v>
      </c>
      <c r="F283" s="82">
        <v>-1.27</v>
      </c>
      <c r="G283" s="82">
        <v>-0.846</v>
      </c>
      <c r="H283" s="82">
        <v>-0.017</v>
      </c>
      <c r="I283" s="82">
        <v>0.836</v>
      </c>
      <c r="J283" s="82">
        <v>1.292</v>
      </c>
      <c r="K283" s="82">
        <v>1.785</v>
      </c>
      <c r="L283" s="82">
        <v>2.107</v>
      </c>
      <c r="M283" s="82">
        <v>2.4</v>
      </c>
      <c r="N283" s="82">
        <v>2.67</v>
      </c>
    </row>
    <row r="284" spans="3:14" ht="15">
      <c r="C284" s="83">
        <v>0</v>
      </c>
      <c r="D284" s="83">
        <v>-2.326</v>
      </c>
      <c r="E284" s="83">
        <v>-1.645</v>
      </c>
      <c r="F284" s="83">
        <v>-1.282</v>
      </c>
      <c r="G284" s="83">
        <v>-0.852</v>
      </c>
      <c r="H284" s="86">
        <v>0</v>
      </c>
      <c r="I284" s="86">
        <v>0.842</v>
      </c>
      <c r="J284" s="86">
        <v>1.282</v>
      </c>
      <c r="K284" s="86">
        <v>1.751</v>
      </c>
      <c r="L284" s="86">
        <v>2.054</v>
      </c>
      <c r="M284" s="86">
        <v>2.326</v>
      </c>
      <c r="N284" s="83">
        <v>2.576</v>
      </c>
    </row>
    <row r="288" spans="3:14" ht="15">
      <c r="C288" s="71" t="s">
        <v>79</v>
      </c>
      <c r="D288" s="296" t="s">
        <v>78</v>
      </c>
      <c r="E288" s="297"/>
      <c r="F288" s="297"/>
      <c r="G288" s="297"/>
      <c r="H288" s="297"/>
      <c r="I288" s="297"/>
      <c r="J288" s="297"/>
      <c r="K288" s="297"/>
      <c r="L288" s="297"/>
      <c r="M288" s="297"/>
      <c r="N288" s="298"/>
    </row>
    <row r="289" spans="3:18" ht="15" customHeight="1">
      <c r="C289" s="77" t="s">
        <v>77</v>
      </c>
      <c r="D289" s="66">
        <v>1.0101</v>
      </c>
      <c r="E289" s="66">
        <v>1.0526</v>
      </c>
      <c r="F289" s="66">
        <v>1.1111</v>
      </c>
      <c r="G289" s="66">
        <v>1.25</v>
      </c>
      <c r="H289" s="66">
        <v>2</v>
      </c>
      <c r="I289" s="66">
        <v>5</v>
      </c>
      <c r="J289" s="66">
        <v>10</v>
      </c>
      <c r="K289" s="66">
        <v>25</v>
      </c>
      <c r="L289" s="66">
        <v>50</v>
      </c>
      <c r="M289" s="66">
        <v>100</v>
      </c>
      <c r="N289" s="66">
        <v>200</v>
      </c>
      <c r="P289" s="87"/>
      <c r="Q289" s="87"/>
      <c r="R289" s="87"/>
    </row>
    <row r="290" spans="3:18" ht="15" customHeight="1">
      <c r="C290" s="88">
        <v>0</v>
      </c>
      <c r="D290" s="88">
        <v>-2.326</v>
      </c>
      <c r="E290" s="88">
        <v>-1.645</v>
      </c>
      <c r="F290" s="88">
        <v>-1.282</v>
      </c>
      <c r="G290" s="88">
        <v>-0.852</v>
      </c>
      <c r="H290" s="88">
        <v>0</v>
      </c>
      <c r="I290" s="88">
        <v>0.842</v>
      </c>
      <c r="J290" s="88">
        <v>1.282</v>
      </c>
      <c r="K290" s="88">
        <v>1.751</v>
      </c>
      <c r="L290" s="88">
        <v>2.054</v>
      </c>
      <c r="M290" s="88">
        <v>2.326</v>
      </c>
      <c r="N290" s="88">
        <v>2.576</v>
      </c>
      <c r="P290" s="87"/>
      <c r="Q290" s="87"/>
      <c r="R290" s="87"/>
    </row>
    <row r="291" spans="3:18" ht="15" customHeight="1">
      <c r="C291" s="82">
        <v>-0.1</v>
      </c>
      <c r="D291" s="82">
        <v>-2.4</v>
      </c>
      <c r="E291" s="82">
        <v>-1.673</v>
      </c>
      <c r="F291" s="82">
        <v>-1.292</v>
      </c>
      <c r="G291" s="82">
        <v>-0.836</v>
      </c>
      <c r="H291" s="82">
        <v>0.017</v>
      </c>
      <c r="I291" s="82">
        <v>0.846</v>
      </c>
      <c r="J291" s="82">
        <v>1.27</v>
      </c>
      <c r="K291" s="82">
        <v>1.716</v>
      </c>
      <c r="L291" s="82">
        <v>2</v>
      </c>
      <c r="M291" s="82">
        <v>2.252</v>
      </c>
      <c r="N291" s="82">
        <v>2.482</v>
      </c>
      <c r="P291" s="87"/>
      <c r="Q291" s="87"/>
      <c r="R291" s="87"/>
    </row>
    <row r="292" spans="3:18" ht="15" customHeight="1">
      <c r="C292" s="82">
        <v>-0.2</v>
      </c>
      <c r="D292" s="82">
        <v>-2.472</v>
      </c>
      <c r="E292" s="82">
        <v>-1.7</v>
      </c>
      <c r="F292" s="82">
        <v>-1.301</v>
      </c>
      <c r="G292" s="82">
        <v>-0.83</v>
      </c>
      <c r="H292" s="82">
        <v>0.033</v>
      </c>
      <c r="I292" s="82">
        <v>0.85</v>
      </c>
      <c r="J292" s="82">
        <v>1.258</v>
      </c>
      <c r="K292" s="82">
        <v>1.68</v>
      </c>
      <c r="L292" s="82">
        <v>1.945</v>
      </c>
      <c r="M292" s="82">
        <v>2.178</v>
      </c>
      <c r="N292" s="82">
        <v>2.388</v>
      </c>
      <c r="P292" s="87"/>
      <c r="Q292" s="87"/>
      <c r="R292" s="87"/>
    </row>
    <row r="293" spans="3:18" ht="15" customHeight="1">
      <c r="C293" s="82">
        <v>-0.3</v>
      </c>
      <c r="D293" s="82">
        <v>-2.544</v>
      </c>
      <c r="E293" s="82">
        <v>-1.726</v>
      </c>
      <c r="F293" s="82">
        <v>-1.309</v>
      </c>
      <c r="G293" s="82">
        <v>-0.824</v>
      </c>
      <c r="H293" s="82">
        <v>0.05</v>
      </c>
      <c r="I293" s="82">
        <v>0.853</v>
      </c>
      <c r="J293" s="82">
        <v>1.245</v>
      </c>
      <c r="K293" s="82">
        <v>1.643</v>
      </c>
      <c r="L293" s="82">
        <v>1.89</v>
      </c>
      <c r="M293" s="82">
        <v>2.104</v>
      </c>
      <c r="N293" s="82">
        <v>2.294</v>
      </c>
      <c r="P293" s="87"/>
      <c r="Q293" s="87"/>
      <c r="R293" s="87"/>
    </row>
    <row r="294" spans="3:18" ht="15" customHeight="1">
      <c r="C294" s="82">
        <v>-0.4</v>
      </c>
      <c r="D294" s="82">
        <v>-2.615</v>
      </c>
      <c r="E294" s="82">
        <v>-1.75</v>
      </c>
      <c r="F294" s="82">
        <v>-1.317</v>
      </c>
      <c r="G294" s="82">
        <v>-0.816</v>
      </c>
      <c r="H294" s="82">
        <v>0.066</v>
      </c>
      <c r="I294" s="82">
        <v>0.855</v>
      </c>
      <c r="J294" s="82">
        <v>1.231</v>
      </c>
      <c r="K294" s="82">
        <v>1.606</v>
      </c>
      <c r="L294" s="82">
        <v>1.814</v>
      </c>
      <c r="M294" s="82">
        <v>2.029</v>
      </c>
      <c r="N294" s="82">
        <v>2.201</v>
      </c>
      <c r="P294" s="87"/>
      <c r="Q294" s="87"/>
      <c r="R294" s="87"/>
    </row>
    <row r="295" spans="3:18" ht="15" customHeight="1">
      <c r="C295" s="82">
        <v>-0.5</v>
      </c>
      <c r="D295" s="82">
        <v>-2.686</v>
      </c>
      <c r="E295" s="82">
        <v>-1.774</v>
      </c>
      <c r="F295" s="82">
        <v>-1.323</v>
      </c>
      <c r="G295" s="82">
        <v>-0.808</v>
      </c>
      <c r="H295" s="82">
        <v>0.083</v>
      </c>
      <c r="I295" s="82">
        <v>0.856</v>
      </c>
      <c r="J295" s="82">
        <v>1.216</v>
      </c>
      <c r="K295" s="82">
        <v>1.567</v>
      </c>
      <c r="L295" s="82">
        <v>1.777</v>
      </c>
      <c r="M295" s="82">
        <v>1.955</v>
      </c>
      <c r="N295" s="82">
        <v>2.108</v>
      </c>
      <c r="P295" s="87"/>
      <c r="Q295" s="87"/>
      <c r="R295" s="87"/>
    </row>
    <row r="296" spans="3:18" ht="15" customHeight="1">
      <c r="C296" s="82">
        <v>-0.6</v>
      </c>
      <c r="D296" s="82">
        <v>-2.755</v>
      </c>
      <c r="E296" s="82">
        <v>-1.797</v>
      </c>
      <c r="F296" s="82">
        <v>-1.328</v>
      </c>
      <c r="G296" s="82">
        <v>-0.8</v>
      </c>
      <c r="H296" s="82">
        <v>0.099</v>
      </c>
      <c r="I296" s="82">
        <v>0.857</v>
      </c>
      <c r="J296" s="82">
        <v>1.2</v>
      </c>
      <c r="K296" s="82">
        <v>1.528</v>
      </c>
      <c r="L296" s="82">
        <v>1.72</v>
      </c>
      <c r="M296" s="82">
        <v>1.88</v>
      </c>
      <c r="N296" s="82">
        <v>2.016</v>
      </c>
      <c r="P296" s="87"/>
      <c r="Q296" s="87"/>
      <c r="R296" s="87"/>
    </row>
    <row r="297" spans="3:18" ht="12.75" customHeight="1">
      <c r="C297" s="82">
        <v>-0.7</v>
      </c>
      <c r="D297" s="82">
        <v>-2.824</v>
      </c>
      <c r="E297" s="82">
        <v>-1.819</v>
      </c>
      <c r="F297" s="82">
        <v>-1.333</v>
      </c>
      <c r="G297" s="82">
        <v>-0.79</v>
      </c>
      <c r="H297" s="82">
        <v>0.116</v>
      </c>
      <c r="I297" s="82">
        <v>0.857</v>
      </c>
      <c r="J297" s="82">
        <v>1.183</v>
      </c>
      <c r="K297" s="82">
        <v>1.488</v>
      </c>
      <c r="L297" s="82">
        <v>1.663</v>
      </c>
      <c r="M297" s="82">
        <v>1.806</v>
      </c>
      <c r="N297" s="82">
        <v>1.926</v>
      </c>
      <c r="P297" s="87"/>
      <c r="Q297" s="87"/>
      <c r="R297" s="87"/>
    </row>
    <row r="298" spans="3:18" ht="12.75" customHeight="1">
      <c r="C298" s="82">
        <v>-0.8</v>
      </c>
      <c r="D298" s="82">
        <v>-2.891</v>
      </c>
      <c r="E298" s="82">
        <v>-1.839</v>
      </c>
      <c r="F298" s="82">
        <v>-1.336</v>
      </c>
      <c r="G298" s="82">
        <v>-0.78</v>
      </c>
      <c r="H298" s="82">
        <v>0.132</v>
      </c>
      <c r="I298" s="82">
        <v>0.856</v>
      </c>
      <c r="J298" s="82">
        <v>1.166</v>
      </c>
      <c r="K298" s="82">
        <v>1.448</v>
      </c>
      <c r="L298" s="82">
        <v>1.606</v>
      </c>
      <c r="M298" s="82">
        <v>1.733</v>
      </c>
      <c r="N298" s="82">
        <v>1.837</v>
      </c>
      <c r="P298" s="87"/>
      <c r="Q298" s="87"/>
      <c r="R298" s="87"/>
    </row>
    <row r="299" spans="3:18" ht="12.75" customHeight="1">
      <c r="C299" s="82">
        <v>-0.9</v>
      </c>
      <c r="D299" s="82">
        <v>-2.957</v>
      </c>
      <c r="E299" s="82">
        <v>-1.858</v>
      </c>
      <c r="F299" s="82">
        <v>-1.339</v>
      </c>
      <c r="G299" s="82">
        <v>-0.769</v>
      </c>
      <c r="H299" s="82">
        <v>0.148</v>
      </c>
      <c r="I299" s="82">
        <v>0.854</v>
      </c>
      <c r="J299" s="82">
        <v>1.147</v>
      </c>
      <c r="K299" s="82">
        <v>1.407</v>
      </c>
      <c r="L299" s="82">
        <v>1.549</v>
      </c>
      <c r="M299" s="82">
        <v>1.66</v>
      </c>
      <c r="N299" s="82">
        <v>1.748</v>
      </c>
      <c r="P299" s="87"/>
      <c r="Q299" s="87"/>
      <c r="R299" s="87"/>
    </row>
    <row r="300" spans="3:18" ht="12.75" customHeight="1">
      <c r="C300" s="82">
        <v>-1</v>
      </c>
      <c r="D300" s="82">
        <v>-3.022</v>
      </c>
      <c r="E300" s="82">
        <v>-1.877</v>
      </c>
      <c r="F300" s="82">
        <v>-1.34</v>
      </c>
      <c r="G300" s="82">
        <v>-0.738</v>
      </c>
      <c r="H300" s="82">
        <v>0.164</v>
      </c>
      <c r="I300" s="82">
        <v>0.852</v>
      </c>
      <c r="J300" s="82">
        <v>1.128</v>
      </c>
      <c r="K300" s="82">
        <v>1.366</v>
      </c>
      <c r="L300" s="82">
        <v>1.492</v>
      </c>
      <c r="M300" s="82">
        <v>1.588</v>
      </c>
      <c r="N300" s="82">
        <v>1.664</v>
      </c>
      <c r="P300" s="87"/>
      <c r="Q300" s="87"/>
      <c r="R300" s="87"/>
    </row>
    <row r="301" spans="3:18" ht="12.75" customHeight="1">
      <c r="C301" s="82">
        <v>-1.1</v>
      </c>
      <c r="D301" s="82">
        <v>-3.087</v>
      </c>
      <c r="E301" s="82">
        <v>-1.894</v>
      </c>
      <c r="F301" s="82">
        <v>-1.341</v>
      </c>
      <c r="G301" s="82">
        <v>-0.745</v>
      </c>
      <c r="H301" s="82">
        <v>0.18</v>
      </c>
      <c r="I301" s="82">
        <v>0.848</v>
      </c>
      <c r="J301" s="82">
        <v>1.107</v>
      </c>
      <c r="K301" s="82">
        <v>1.324</v>
      </c>
      <c r="L301" s="82">
        <v>1.435</v>
      </c>
      <c r="M301" s="82">
        <v>1.518</v>
      </c>
      <c r="N301" s="82">
        <v>1.586</v>
      </c>
      <c r="P301" s="87"/>
      <c r="Q301" s="87"/>
      <c r="R301" s="87"/>
    </row>
    <row r="302" spans="3:18" ht="12.75" customHeight="1">
      <c r="C302" s="82">
        <v>-1.2</v>
      </c>
      <c r="D302" s="82">
        <v>-3.149</v>
      </c>
      <c r="E302" s="82">
        <v>-1.91</v>
      </c>
      <c r="F302" s="82">
        <v>-1.34</v>
      </c>
      <c r="G302" s="82">
        <v>-0.732</v>
      </c>
      <c r="H302" s="82">
        <v>0.195</v>
      </c>
      <c r="I302" s="82">
        <v>0.844</v>
      </c>
      <c r="J302" s="82">
        <v>1.086</v>
      </c>
      <c r="K302" s="82">
        <v>1.282</v>
      </c>
      <c r="L302" s="82">
        <v>1.379</v>
      </c>
      <c r="M302" s="82">
        <v>1.449</v>
      </c>
      <c r="N302" s="82">
        <v>1.501</v>
      </c>
      <c r="P302" s="87"/>
      <c r="Q302" s="87"/>
      <c r="R302" s="87"/>
    </row>
    <row r="303" spans="3:18" ht="12.75" customHeight="1">
      <c r="C303" s="82">
        <v>-1.3</v>
      </c>
      <c r="D303" s="82">
        <v>-3.211</v>
      </c>
      <c r="E303" s="82">
        <v>-1.925</v>
      </c>
      <c r="F303" s="82">
        <v>-1.339</v>
      </c>
      <c r="G303" s="82">
        <v>-0.719</v>
      </c>
      <c r="H303" s="82">
        <v>0.21</v>
      </c>
      <c r="I303" s="82">
        <v>0.838</v>
      </c>
      <c r="J303" s="82">
        <v>1.064</v>
      </c>
      <c r="K303" s="82">
        <v>1.24</v>
      </c>
      <c r="L303" s="82">
        <v>1.324</v>
      </c>
      <c r="M303" s="82">
        <v>1.383</v>
      </c>
      <c r="N303" s="82">
        <v>1.484</v>
      </c>
      <c r="P303" s="87"/>
      <c r="Q303" s="87"/>
      <c r="R303" s="87"/>
    </row>
    <row r="304" spans="3:14" ht="15">
      <c r="C304" s="82">
        <v>-1.4</v>
      </c>
      <c r="D304" s="82">
        <v>-3.271</v>
      </c>
      <c r="E304" s="82">
        <v>-1.938</v>
      </c>
      <c r="F304" s="82">
        <v>-1.337</v>
      </c>
      <c r="G304" s="82">
        <v>-0.705</v>
      </c>
      <c r="H304" s="82">
        <v>0.225</v>
      </c>
      <c r="I304" s="82">
        <v>0.832</v>
      </c>
      <c r="J304" s="82">
        <v>1.041</v>
      </c>
      <c r="K304" s="82">
        <v>1.198</v>
      </c>
      <c r="L304" s="82">
        <v>1.282</v>
      </c>
      <c r="M304" s="82">
        <v>1.318</v>
      </c>
      <c r="N304" s="82">
        <v>1.351</v>
      </c>
    </row>
    <row r="305" spans="3:14" ht="15">
      <c r="C305" s="82">
        <v>-1.5</v>
      </c>
      <c r="D305" s="82">
        <v>-3.33</v>
      </c>
      <c r="E305" s="82">
        <v>-1.951</v>
      </c>
      <c r="F305" s="82">
        <v>-1.333</v>
      </c>
      <c r="G305" s="82">
        <v>-0.69</v>
      </c>
      <c r="H305" s="82">
        <v>0.24</v>
      </c>
      <c r="I305" s="82">
        <v>0.825</v>
      </c>
      <c r="J305" s="82">
        <v>1.018</v>
      </c>
      <c r="K305" s="82">
        <v>1.157</v>
      </c>
      <c r="L305" s="82">
        <v>1.24</v>
      </c>
      <c r="M305" s="82">
        <v>1.256</v>
      </c>
      <c r="N305" s="82">
        <v>1.282</v>
      </c>
    </row>
    <row r="306" spans="3:14" ht="15">
      <c r="C306" s="82">
        <v>-1.6</v>
      </c>
      <c r="D306" s="82">
        <v>-3.388</v>
      </c>
      <c r="E306" s="82">
        <v>-1.962</v>
      </c>
      <c r="F306" s="82">
        <v>-1.329</v>
      </c>
      <c r="G306" s="82">
        <v>-0.675</v>
      </c>
      <c r="H306" s="82">
        <v>0.254</v>
      </c>
      <c r="I306" s="82">
        <v>0.817</v>
      </c>
      <c r="J306" s="82">
        <v>0.994</v>
      </c>
      <c r="K306" s="82">
        <v>1.116</v>
      </c>
      <c r="L306" s="82">
        <v>1.166</v>
      </c>
      <c r="M306" s="82">
        <v>1.197</v>
      </c>
      <c r="N306" s="82">
        <v>1.216</v>
      </c>
    </row>
    <row r="307" spans="3:14" ht="15">
      <c r="C307" s="82">
        <v>-1.7</v>
      </c>
      <c r="D307" s="82">
        <v>-3.444</v>
      </c>
      <c r="E307" s="82">
        <v>-1.972</v>
      </c>
      <c r="F307" s="82">
        <v>-1.324</v>
      </c>
      <c r="G307" s="82">
        <v>-0.66</v>
      </c>
      <c r="H307" s="82">
        <v>0.268</v>
      </c>
      <c r="I307" s="82">
        <v>0.808</v>
      </c>
      <c r="J307" s="82">
        <v>0.97</v>
      </c>
      <c r="K307" s="82">
        <v>1.075</v>
      </c>
      <c r="L307" s="82">
        <v>1.116</v>
      </c>
      <c r="M307" s="82">
        <v>1.14</v>
      </c>
      <c r="N307" s="82">
        <v>1.166</v>
      </c>
    </row>
    <row r="308" spans="3:14" ht="15">
      <c r="C308" s="82">
        <v>-1.8</v>
      </c>
      <c r="D308" s="82">
        <v>-3.499</v>
      </c>
      <c r="E308" s="82">
        <v>-1.981</v>
      </c>
      <c r="F308" s="82">
        <v>-1.318</v>
      </c>
      <c r="G308" s="82">
        <v>-0.643</v>
      </c>
      <c r="H308" s="82">
        <v>0.282</v>
      </c>
      <c r="I308" s="82">
        <v>0.799</v>
      </c>
      <c r="J308" s="82">
        <v>0.945</v>
      </c>
      <c r="K308" s="82">
        <v>1.035</v>
      </c>
      <c r="L308" s="82">
        <v>1.069</v>
      </c>
      <c r="M308" s="82">
        <v>1.087</v>
      </c>
      <c r="N308" s="82">
        <v>1.096</v>
      </c>
    </row>
    <row r="309" spans="3:14" ht="15">
      <c r="C309" s="82">
        <v>-1.9</v>
      </c>
      <c r="D309" s="82">
        <v>-3.553</v>
      </c>
      <c r="E309" s="82">
        <v>-1.989</v>
      </c>
      <c r="F309" s="82">
        <v>-1.31</v>
      </c>
      <c r="G309" s="82">
        <v>-0.621</v>
      </c>
      <c r="H309" s="82">
        <v>0.294</v>
      </c>
      <c r="I309" s="82">
        <v>0.788</v>
      </c>
      <c r="J309" s="82">
        <v>0.92</v>
      </c>
      <c r="K309" s="82">
        <v>0.996</v>
      </c>
      <c r="L309" s="82">
        <v>1.023</v>
      </c>
      <c r="M309" s="82">
        <v>1.037</v>
      </c>
      <c r="N309" s="82">
        <v>1.044</v>
      </c>
    </row>
    <row r="310" spans="3:14" ht="15">
      <c r="C310" s="82">
        <v>-2</v>
      </c>
      <c r="D310" s="82">
        <v>-3.605</v>
      </c>
      <c r="E310" s="82">
        <v>-1.996</v>
      </c>
      <c r="F310" s="82">
        <v>-1.302</v>
      </c>
      <c r="G310" s="82">
        <v>-0.609</v>
      </c>
      <c r="H310" s="82">
        <v>0.307</v>
      </c>
      <c r="I310" s="82">
        <v>0.777</v>
      </c>
      <c r="J310" s="82">
        <v>0.895</v>
      </c>
      <c r="K310" s="82">
        <v>0.959</v>
      </c>
      <c r="L310" s="82">
        <v>0.98</v>
      </c>
      <c r="M310" s="82">
        <v>0.99</v>
      </c>
      <c r="N310" s="82">
        <v>0.993</v>
      </c>
    </row>
    <row r="311" spans="3:14" ht="15">
      <c r="C311" s="82">
        <v>-2.1</v>
      </c>
      <c r="D311" s="82">
        <v>-3.656</v>
      </c>
      <c r="E311" s="82">
        <v>-2.001</v>
      </c>
      <c r="F311" s="82">
        <v>-1.294</v>
      </c>
      <c r="G311" s="82">
        <v>-0.592</v>
      </c>
      <c r="H311" s="82">
        <v>0.319</v>
      </c>
      <c r="I311" s="82">
        <v>0.765</v>
      </c>
      <c r="J311" s="82">
        <v>0.869</v>
      </c>
      <c r="K311" s="82">
        <v>0.923</v>
      </c>
      <c r="L311" s="82">
        <v>0.939</v>
      </c>
      <c r="M311" s="82">
        <v>0.924</v>
      </c>
      <c r="N311" s="82">
        <v>0.949</v>
      </c>
    </row>
    <row r="312" spans="3:14" ht="15">
      <c r="C312" s="82">
        <v>-2.2</v>
      </c>
      <c r="D312" s="82">
        <v>-3.705</v>
      </c>
      <c r="E312" s="82">
        <v>-2.006</v>
      </c>
      <c r="F312" s="82">
        <v>-1.284</v>
      </c>
      <c r="G312" s="82">
        <v>-0.574</v>
      </c>
      <c r="H312" s="82">
        <v>0.33</v>
      </c>
      <c r="I312" s="82">
        <v>0.752</v>
      </c>
      <c r="J312" s="82">
        <v>0.844</v>
      </c>
      <c r="K312" s="82">
        <v>0.888</v>
      </c>
      <c r="L312" s="82">
        <v>0.9</v>
      </c>
      <c r="M312" s="82">
        <v>0.905</v>
      </c>
      <c r="N312" s="82">
        <v>0.907</v>
      </c>
    </row>
    <row r="313" spans="3:14" ht="15">
      <c r="C313" s="82">
        <v>-2.3</v>
      </c>
      <c r="D313" s="82">
        <v>-3.753</v>
      </c>
      <c r="E313" s="82">
        <v>-2.009</v>
      </c>
      <c r="F313" s="82">
        <v>-1.274</v>
      </c>
      <c r="G313" s="82">
        <v>-0.555</v>
      </c>
      <c r="H313" s="82">
        <v>0.341</v>
      </c>
      <c r="I313" s="82">
        <v>0.739</v>
      </c>
      <c r="J313" s="82">
        <v>0.819</v>
      </c>
      <c r="K313" s="82">
        <v>0.855</v>
      </c>
      <c r="L313" s="82">
        <v>0.864</v>
      </c>
      <c r="M313" s="82">
        <v>0.867</v>
      </c>
      <c r="N313" s="82">
        <v>0.869</v>
      </c>
    </row>
    <row r="314" spans="3:14" ht="15">
      <c r="C314" s="82">
        <v>-2.4</v>
      </c>
      <c r="D314" s="82">
        <v>-3.8</v>
      </c>
      <c r="E314" s="82">
        <v>-2.011</v>
      </c>
      <c r="F314" s="82">
        <v>-1.262</v>
      </c>
      <c r="G314" s="82">
        <v>-0.537</v>
      </c>
      <c r="H314" s="82">
        <v>0.351</v>
      </c>
      <c r="I314" s="82">
        <v>0.723</v>
      </c>
      <c r="J314" s="82">
        <v>0.795</v>
      </c>
      <c r="K314" s="82">
        <v>0.823</v>
      </c>
      <c r="L314" s="82">
        <v>0.83</v>
      </c>
      <c r="M314" s="82">
        <v>0.832</v>
      </c>
      <c r="N314" s="82">
        <v>0.833</v>
      </c>
    </row>
    <row r="315" spans="3:14" ht="15">
      <c r="C315" s="82">
        <v>-2.5</v>
      </c>
      <c r="D315" s="82">
        <v>-3.845</v>
      </c>
      <c r="E315" s="82">
        <v>-2.012</v>
      </c>
      <c r="F315" s="82">
        <v>-1.25</v>
      </c>
      <c r="G315" s="82">
        <v>-0.518</v>
      </c>
      <c r="H315" s="82">
        <v>0.36</v>
      </c>
      <c r="I315" s="82">
        <v>0.711</v>
      </c>
      <c r="J315" s="82">
        <v>0.771</v>
      </c>
      <c r="K315" s="82">
        <v>0.793</v>
      </c>
      <c r="L315" s="82">
        <v>0.798</v>
      </c>
      <c r="M315" s="82">
        <v>0.799</v>
      </c>
      <c r="N315" s="82">
        <v>0.8</v>
      </c>
    </row>
    <row r="316" spans="3:14" ht="15">
      <c r="C316" s="82">
        <v>-2.6</v>
      </c>
      <c r="D316" s="82">
        <v>-3.889</v>
      </c>
      <c r="E316" s="82">
        <v>-2.013</v>
      </c>
      <c r="F316" s="82">
        <v>-1.238</v>
      </c>
      <c r="G316" s="82">
        <v>-0.499</v>
      </c>
      <c r="H316" s="82">
        <v>0.368</v>
      </c>
      <c r="I316" s="82">
        <v>0.696</v>
      </c>
      <c r="J316" s="82">
        <v>0.747</v>
      </c>
      <c r="K316" s="82">
        <v>0.764</v>
      </c>
      <c r="L316" s="82">
        <v>0.768</v>
      </c>
      <c r="M316" s="82">
        <v>0.768</v>
      </c>
      <c r="N316" s="82">
        <v>0.769</v>
      </c>
    </row>
    <row r="317" spans="3:14" ht="15">
      <c r="C317" s="82">
        <v>-2.7</v>
      </c>
      <c r="D317" s="82">
        <v>-3.932</v>
      </c>
      <c r="E317" s="82">
        <v>-2.012</v>
      </c>
      <c r="F317" s="82">
        <v>-1.224</v>
      </c>
      <c r="G317" s="82">
        <v>-0.479</v>
      </c>
      <c r="H317" s="82">
        <v>0.375</v>
      </c>
      <c r="I317" s="82">
        <v>0.681</v>
      </c>
      <c r="J317" s="82">
        <v>0.724</v>
      </c>
      <c r="K317" s="82">
        <v>0.738</v>
      </c>
      <c r="L317" s="82">
        <v>0.74</v>
      </c>
      <c r="M317" s="82">
        <v>0.74</v>
      </c>
      <c r="N317" s="82">
        <v>0.741</v>
      </c>
    </row>
    <row r="318" spans="3:14" ht="15">
      <c r="C318" s="82">
        <v>-2.8</v>
      </c>
      <c r="D318" s="82">
        <v>-3.973</v>
      </c>
      <c r="E318" s="82">
        <v>-2.01</v>
      </c>
      <c r="F318" s="82">
        <v>-1.21</v>
      </c>
      <c r="G318" s="82">
        <v>-0.46</v>
      </c>
      <c r="H318" s="82">
        <v>0.384</v>
      </c>
      <c r="I318" s="82">
        <v>0.666</v>
      </c>
      <c r="J318" s="82">
        <v>0.702</v>
      </c>
      <c r="K318" s="82">
        <v>0.712</v>
      </c>
      <c r="L318" s="82">
        <v>0.714</v>
      </c>
      <c r="M318" s="82">
        <v>0.714</v>
      </c>
      <c r="N318" s="82">
        <v>0.714</v>
      </c>
    </row>
    <row r="319" spans="3:14" ht="15">
      <c r="C319" s="82">
        <v>-2.9</v>
      </c>
      <c r="D319" s="82">
        <v>-4.013</v>
      </c>
      <c r="E319" s="82">
        <v>-2.007</v>
      </c>
      <c r="F319" s="82">
        <v>-1.195</v>
      </c>
      <c r="G319" s="82">
        <v>-0.44</v>
      </c>
      <c r="H319" s="82">
        <v>0.33</v>
      </c>
      <c r="I319" s="82">
        <v>0.651</v>
      </c>
      <c r="J319" s="82">
        <v>0.681</v>
      </c>
      <c r="K319" s="82">
        <v>0.683</v>
      </c>
      <c r="L319" s="82">
        <v>0.689</v>
      </c>
      <c r="M319" s="82">
        <v>0.69</v>
      </c>
      <c r="N319" s="82">
        <v>0.69</v>
      </c>
    </row>
    <row r="320" spans="3:14" ht="15">
      <c r="C320" s="83">
        <v>-3</v>
      </c>
      <c r="D320" s="83">
        <v>-4.051</v>
      </c>
      <c r="E320" s="83">
        <v>-2.003</v>
      </c>
      <c r="F320" s="83">
        <v>-1.18</v>
      </c>
      <c r="G320" s="83">
        <v>-0.44</v>
      </c>
      <c r="H320" s="83">
        <v>0.39</v>
      </c>
      <c r="I320" s="83">
        <v>0.636</v>
      </c>
      <c r="J320" s="83">
        <v>0.666</v>
      </c>
      <c r="K320" s="83">
        <v>0.666</v>
      </c>
      <c r="L320" s="83">
        <v>0.666</v>
      </c>
      <c r="M320" s="83">
        <v>0.667</v>
      </c>
      <c r="N320" s="83">
        <v>0.667</v>
      </c>
    </row>
    <row r="325" ht="15.75">
      <c r="C325" s="62" t="s">
        <v>76</v>
      </c>
    </row>
    <row r="327" spans="3:14" ht="15.75" customHeight="1">
      <c r="C327" s="89" t="s">
        <v>24</v>
      </c>
      <c r="D327" s="89" t="s">
        <v>27</v>
      </c>
      <c r="E327" s="89"/>
      <c r="F327" s="89" t="s">
        <v>24</v>
      </c>
      <c r="G327" s="89" t="s">
        <v>27</v>
      </c>
      <c r="H327" s="89"/>
      <c r="I327" s="89" t="s">
        <v>24</v>
      </c>
      <c r="J327" s="89" t="s">
        <v>27</v>
      </c>
      <c r="K327" s="89"/>
      <c r="L327" s="89" t="s">
        <v>24</v>
      </c>
      <c r="M327" s="89" t="s">
        <v>27</v>
      </c>
      <c r="N327" s="89"/>
    </row>
    <row r="328" spans="3:14" ht="15">
      <c r="C328" s="78">
        <v>8</v>
      </c>
      <c r="D328" s="90">
        <v>0.4843</v>
      </c>
      <c r="E328" s="66">
        <v>0.9043</v>
      </c>
      <c r="F328" s="78">
        <v>29</v>
      </c>
      <c r="G328" s="90">
        <v>0.5363</v>
      </c>
      <c r="H328" s="90">
        <v>1.1086</v>
      </c>
      <c r="I328" s="78">
        <v>49</v>
      </c>
      <c r="J328" s="90">
        <v>0.5481</v>
      </c>
      <c r="K328" s="90">
        <v>1.159</v>
      </c>
      <c r="L328" s="78">
        <v>78</v>
      </c>
      <c r="M328" s="90">
        <v>0.5565</v>
      </c>
      <c r="N328" s="90">
        <v>1.1923</v>
      </c>
    </row>
    <row r="329" spans="3:14" ht="15">
      <c r="C329" s="78">
        <f aca="true" t="shared" si="2" ref="C329:C348">+C328+1</f>
        <v>9</v>
      </c>
      <c r="D329" s="90">
        <v>0.4902</v>
      </c>
      <c r="E329" s="66">
        <v>0.9288</v>
      </c>
      <c r="F329" s="78">
        <f aca="true" t="shared" si="3" ref="F329:F347">+F328+1</f>
        <v>30</v>
      </c>
      <c r="G329" s="90">
        <v>0.5362</v>
      </c>
      <c r="H329" s="90">
        <v>1.1124</v>
      </c>
      <c r="I329" s="78">
        <f aca="true" t="shared" si="4" ref="I329:I339">+I328+1</f>
        <v>50</v>
      </c>
      <c r="J329" s="90">
        <v>0.5485</v>
      </c>
      <c r="K329" s="90">
        <v>1.1607</v>
      </c>
      <c r="L329" s="78">
        <f aca="true" t="shared" si="5" ref="L329:L339">+L328+2</f>
        <v>80</v>
      </c>
      <c r="M329" s="90">
        <v>0.5569</v>
      </c>
      <c r="N329" s="90">
        <v>1.1938</v>
      </c>
    </row>
    <row r="330" spans="3:14" ht="15">
      <c r="C330" s="78">
        <f t="shared" si="2"/>
        <v>10</v>
      </c>
      <c r="D330" s="90">
        <v>0.4952</v>
      </c>
      <c r="E330" s="66">
        <v>0.9497</v>
      </c>
      <c r="F330" s="78">
        <f t="shared" si="3"/>
        <v>31</v>
      </c>
      <c r="G330" s="90">
        <v>0.5371</v>
      </c>
      <c r="H330" s="90">
        <v>1.1159</v>
      </c>
      <c r="I330" s="78">
        <f t="shared" si="4"/>
        <v>51</v>
      </c>
      <c r="J330" s="90">
        <v>0.5489</v>
      </c>
      <c r="K330" s="90">
        <v>1.1623</v>
      </c>
      <c r="L330" s="78">
        <f t="shared" si="5"/>
        <v>82</v>
      </c>
      <c r="M330" s="90">
        <v>0.5575</v>
      </c>
      <c r="N330" s="90">
        <v>1.1953</v>
      </c>
    </row>
    <row r="331" spans="3:14" ht="15">
      <c r="C331" s="78">
        <f t="shared" si="2"/>
        <v>11</v>
      </c>
      <c r="D331" s="90">
        <v>0.4996</v>
      </c>
      <c r="E331" s="66">
        <v>0.9676</v>
      </c>
      <c r="F331" s="78">
        <f t="shared" si="3"/>
        <v>32</v>
      </c>
      <c r="G331" s="90">
        <v>0.538</v>
      </c>
      <c r="H331" s="90">
        <v>1.1193</v>
      </c>
      <c r="I331" s="78">
        <f t="shared" si="4"/>
        <v>52</v>
      </c>
      <c r="J331" s="90">
        <v>0.5493</v>
      </c>
      <c r="K331" s="90">
        <v>1.1638</v>
      </c>
      <c r="L331" s="78">
        <f t="shared" si="5"/>
        <v>84</v>
      </c>
      <c r="M331" s="90">
        <v>0.5576</v>
      </c>
      <c r="N331" s="90">
        <v>1.1967</v>
      </c>
    </row>
    <row r="332" spans="3:14" ht="15">
      <c r="C332" s="78">
        <f t="shared" si="2"/>
        <v>12</v>
      </c>
      <c r="D332" s="90">
        <v>0.5035</v>
      </c>
      <c r="E332" s="66">
        <v>0.9833</v>
      </c>
      <c r="F332" s="78">
        <f t="shared" si="3"/>
        <v>33</v>
      </c>
      <c r="G332" s="90">
        <v>0.5388</v>
      </c>
      <c r="H332" s="90">
        <v>1.1226</v>
      </c>
      <c r="I332" s="78">
        <f t="shared" si="4"/>
        <v>53</v>
      </c>
      <c r="J332" s="90">
        <v>0.5497</v>
      </c>
      <c r="K332" s="90">
        <v>1.1653</v>
      </c>
      <c r="L332" s="78">
        <f t="shared" si="5"/>
        <v>86</v>
      </c>
      <c r="M332" s="90">
        <v>0.558</v>
      </c>
      <c r="N332" s="90">
        <v>1.198</v>
      </c>
    </row>
    <row r="333" spans="3:14" ht="15">
      <c r="C333" s="78">
        <f t="shared" si="2"/>
        <v>13</v>
      </c>
      <c r="D333" s="90">
        <v>0.507</v>
      </c>
      <c r="E333" s="66">
        <v>0.9972</v>
      </c>
      <c r="F333" s="78">
        <f t="shared" si="3"/>
        <v>34</v>
      </c>
      <c r="G333" s="90">
        <v>0.5396</v>
      </c>
      <c r="H333" s="90">
        <v>1.255</v>
      </c>
      <c r="I333" s="78">
        <f t="shared" si="4"/>
        <v>54</v>
      </c>
      <c r="J333" s="90">
        <v>0.5501</v>
      </c>
      <c r="K333" s="90">
        <v>1.1667</v>
      </c>
      <c r="L333" s="78">
        <f t="shared" si="5"/>
        <v>88</v>
      </c>
      <c r="M333" s="90">
        <v>0.5583</v>
      </c>
      <c r="N333" s="90">
        <v>1.1994</v>
      </c>
    </row>
    <row r="334" spans="3:14" ht="15">
      <c r="C334" s="78">
        <f t="shared" si="2"/>
        <v>14</v>
      </c>
      <c r="D334" s="90">
        <v>0.51</v>
      </c>
      <c r="E334" s="66">
        <v>1.0095</v>
      </c>
      <c r="F334" s="78">
        <f t="shared" si="3"/>
        <v>35</v>
      </c>
      <c r="G334" s="90">
        <v>0.5403</v>
      </c>
      <c r="H334" s="90">
        <v>1.285</v>
      </c>
      <c r="I334" s="78">
        <f t="shared" si="4"/>
        <v>55</v>
      </c>
      <c r="J334" s="90">
        <v>0.5504</v>
      </c>
      <c r="K334" s="90">
        <v>1.1681</v>
      </c>
      <c r="L334" s="78">
        <f t="shared" si="5"/>
        <v>90</v>
      </c>
      <c r="M334" s="90">
        <v>0.5586</v>
      </c>
      <c r="N334" s="90">
        <v>1.2007</v>
      </c>
    </row>
    <row r="335" spans="3:14" ht="15">
      <c r="C335" s="78">
        <f t="shared" si="2"/>
        <v>15</v>
      </c>
      <c r="D335" s="90">
        <v>0.5128</v>
      </c>
      <c r="E335" s="66">
        <v>1.0206</v>
      </c>
      <c r="F335" s="78">
        <f t="shared" si="3"/>
        <v>36</v>
      </c>
      <c r="G335" s="90">
        <v>0.541</v>
      </c>
      <c r="H335" s="90">
        <v>1.1313</v>
      </c>
      <c r="I335" s="78">
        <f t="shared" si="4"/>
        <v>56</v>
      </c>
      <c r="J335" s="90">
        <v>0.5508</v>
      </c>
      <c r="K335" s="90">
        <v>1.1696</v>
      </c>
      <c r="L335" s="78">
        <f t="shared" si="5"/>
        <v>92</v>
      </c>
      <c r="M335" s="90">
        <v>0.5589</v>
      </c>
      <c r="N335" s="90">
        <v>1.202</v>
      </c>
    </row>
    <row r="336" spans="3:14" ht="15">
      <c r="C336" s="78">
        <f t="shared" si="2"/>
        <v>16</v>
      </c>
      <c r="D336" s="90">
        <v>0.5157</v>
      </c>
      <c r="E336" s="66">
        <v>1.0316</v>
      </c>
      <c r="F336" s="78">
        <f t="shared" si="3"/>
        <v>37</v>
      </c>
      <c r="G336" s="90">
        <v>0.5418</v>
      </c>
      <c r="H336" s="90">
        <v>1.1339</v>
      </c>
      <c r="I336" s="78">
        <f t="shared" si="4"/>
        <v>57</v>
      </c>
      <c r="J336" s="90">
        <v>0.5511</v>
      </c>
      <c r="K336" s="90">
        <v>1.1708</v>
      </c>
      <c r="L336" s="78">
        <f t="shared" si="5"/>
        <v>94</v>
      </c>
      <c r="M336" s="90">
        <v>0.5592</v>
      </c>
      <c r="N336" s="90">
        <v>1.2032</v>
      </c>
    </row>
    <row r="337" spans="3:14" ht="15">
      <c r="C337" s="78">
        <f t="shared" si="2"/>
        <v>17</v>
      </c>
      <c r="D337" s="90">
        <v>0.5181</v>
      </c>
      <c r="E337" s="66">
        <v>1.0411</v>
      </c>
      <c r="F337" s="78">
        <f t="shared" si="3"/>
        <v>38</v>
      </c>
      <c r="G337" s="90">
        <v>0.5424</v>
      </c>
      <c r="H337" s="90">
        <v>1.1363</v>
      </c>
      <c r="I337" s="78">
        <f t="shared" si="4"/>
        <v>58</v>
      </c>
      <c r="J337" s="90">
        <v>0.5515</v>
      </c>
      <c r="K337" s="90">
        <v>1.1721</v>
      </c>
      <c r="L337" s="78">
        <f t="shared" si="5"/>
        <v>96</v>
      </c>
      <c r="M337" s="90">
        <v>0.5595</v>
      </c>
      <c r="N337" s="90">
        <v>1.2044</v>
      </c>
    </row>
    <row r="338" spans="3:14" ht="15">
      <c r="C338" s="78">
        <f t="shared" si="2"/>
        <v>18</v>
      </c>
      <c r="D338" s="90">
        <v>0.5202</v>
      </c>
      <c r="E338" s="66">
        <v>1.0493</v>
      </c>
      <c r="F338" s="78">
        <f t="shared" si="3"/>
        <v>39</v>
      </c>
      <c r="G338" s="90">
        <v>0.543</v>
      </c>
      <c r="H338" s="90">
        <v>1.1388</v>
      </c>
      <c r="I338" s="78">
        <f t="shared" si="4"/>
        <v>59</v>
      </c>
      <c r="J338" s="90">
        <v>0.5515</v>
      </c>
      <c r="K338" s="90">
        <v>1.1734</v>
      </c>
      <c r="L338" s="78">
        <f t="shared" si="5"/>
        <v>98</v>
      </c>
      <c r="M338" s="90">
        <v>0.5598</v>
      </c>
      <c r="N338" s="90">
        <v>1.2055</v>
      </c>
    </row>
    <row r="339" spans="3:14" ht="15">
      <c r="C339" s="78">
        <f t="shared" si="2"/>
        <v>19</v>
      </c>
      <c r="D339" s="90">
        <v>0.522</v>
      </c>
      <c r="E339" s="66">
        <v>1.0566</v>
      </c>
      <c r="F339" s="78">
        <f t="shared" si="3"/>
        <v>40</v>
      </c>
      <c r="G339" s="90">
        <v>0.5436</v>
      </c>
      <c r="H339" s="90">
        <v>1.1413</v>
      </c>
      <c r="I339" s="78">
        <f t="shared" si="4"/>
        <v>60</v>
      </c>
      <c r="J339" s="90">
        <v>0.5521</v>
      </c>
      <c r="K339" s="90">
        <v>1.1747</v>
      </c>
      <c r="L339" s="78">
        <f t="shared" si="5"/>
        <v>100</v>
      </c>
      <c r="M339" s="90">
        <v>0.5601</v>
      </c>
      <c r="N339" s="90">
        <v>1.2065</v>
      </c>
    </row>
    <row r="340" spans="3:14" ht="15">
      <c r="C340" s="78">
        <f t="shared" si="2"/>
        <v>20</v>
      </c>
      <c r="D340" s="90">
        <v>0.5236</v>
      </c>
      <c r="E340" s="66">
        <v>1.0628</v>
      </c>
      <c r="F340" s="78">
        <f t="shared" si="3"/>
        <v>41</v>
      </c>
      <c r="G340" s="90">
        <v>0.5442</v>
      </c>
      <c r="H340" s="90">
        <v>1.1436</v>
      </c>
      <c r="I340" s="78">
        <v>62</v>
      </c>
      <c r="J340" s="90">
        <v>0.5527</v>
      </c>
      <c r="K340" s="90">
        <v>1.177</v>
      </c>
      <c r="L340" s="78">
        <v>150</v>
      </c>
      <c r="M340" s="90">
        <v>0.5646</v>
      </c>
      <c r="N340" s="90">
        <v>1.2253</v>
      </c>
    </row>
    <row r="341" spans="3:14" ht="15">
      <c r="C341" s="78">
        <f t="shared" si="2"/>
        <v>21</v>
      </c>
      <c r="D341" s="90">
        <v>0.5252</v>
      </c>
      <c r="E341" s="66">
        <v>1.0696</v>
      </c>
      <c r="F341" s="78">
        <f t="shared" si="3"/>
        <v>42</v>
      </c>
      <c r="G341" s="90">
        <v>0.5448</v>
      </c>
      <c r="H341" s="90">
        <v>1.1458</v>
      </c>
      <c r="I341" s="78">
        <v>64</v>
      </c>
      <c r="J341" s="90">
        <v>0.5533</v>
      </c>
      <c r="K341" s="90">
        <v>1.1777</v>
      </c>
      <c r="L341" s="78">
        <v>200</v>
      </c>
      <c r="M341" s="90">
        <v>0.5672</v>
      </c>
      <c r="N341" s="90">
        <v>1.236</v>
      </c>
    </row>
    <row r="342" spans="3:14" ht="15">
      <c r="C342" s="78">
        <f t="shared" si="2"/>
        <v>22</v>
      </c>
      <c r="D342" s="90">
        <v>0.5268</v>
      </c>
      <c r="E342" s="66">
        <v>1.0754</v>
      </c>
      <c r="F342" s="78">
        <f t="shared" si="3"/>
        <v>43</v>
      </c>
      <c r="G342" s="90">
        <v>0.5453</v>
      </c>
      <c r="H342" s="90">
        <v>1.148</v>
      </c>
      <c r="I342" s="78">
        <v>66</v>
      </c>
      <c r="J342" s="90">
        <v>0.5538</v>
      </c>
      <c r="K342" s="90">
        <v>1.1793</v>
      </c>
      <c r="L342" s="78">
        <v>250</v>
      </c>
      <c r="M342" s="90">
        <v>0.5688</v>
      </c>
      <c r="N342" s="90">
        <v>1.2429</v>
      </c>
    </row>
    <row r="343" spans="3:14" ht="15">
      <c r="C343" s="78">
        <f t="shared" si="2"/>
        <v>23</v>
      </c>
      <c r="D343" s="90">
        <v>0.5283</v>
      </c>
      <c r="E343" s="66">
        <v>1.0811</v>
      </c>
      <c r="F343" s="78">
        <f t="shared" si="3"/>
        <v>44</v>
      </c>
      <c r="G343" s="90">
        <v>0.5458</v>
      </c>
      <c r="H343" s="90">
        <v>1.1499</v>
      </c>
      <c r="I343" s="78">
        <v>68</v>
      </c>
      <c r="J343" s="90">
        <v>0.5543</v>
      </c>
      <c r="K343" s="90">
        <v>1.1814</v>
      </c>
      <c r="L343" s="78">
        <v>300</v>
      </c>
      <c r="M343" s="90">
        <v>0.5699</v>
      </c>
      <c r="N343" s="90">
        <v>1.2479</v>
      </c>
    </row>
    <row r="344" spans="3:14" ht="15">
      <c r="C344" s="78">
        <f t="shared" si="2"/>
        <v>24</v>
      </c>
      <c r="D344" s="90">
        <v>0.5296</v>
      </c>
      <c r="E344" s="66">
        <v>1.0864</v>
      </c>
      <c r="F344" s="78">
        <f t="shared" si="3"/>
        <v>45</v>
      </c>
      <c r="G344" s="90">
        <v>0.5463</v>
      </c>
      <c r="H344" s="90">
        <v>1.1518</v>
      </c>
      <c r="I344" s="78">
        <v>70</v>
      </c>
      <c r="J344" s="90">
        <v>0.5548</v>
      </c>
      <c r="K344" s="90">
        <v>1.1854</v>
      </c>
      <c r="L344" s="78">
        <v>400</v>
      </c>
      <c r="M344" s="90">
        <v>0.5714</v>
      </c>
      <c r="N344" s="90">
        <v>1.2545</v>
      </c>
    </row>
    <row r="345" spans="3:14" ht="15">
      <c r="C345" s="78">
        <f t="shared" si="2"/>
        <v>25</v>
      </c>
      <c r="D345" s="90">
        <v>0.5309</v>
      </c>
      <c r="E345" s="66">
        <v>1.0915</v>
      </c>
      <c r="F345" s="78">
        <f t="shared" si="3"/>
        <v>46</v>
      </c>
      <c r="G345" s="90">
        <v>0.5468</v>
      </c>
      <c r="H345" s="90">
        <v>1.1538</v>
      </c>
      <c r="I345" s="78">
        <v>72</v>
      </c>
      <c r="J345" s="90">
        <v>0.5552</v>
      </c>
      <c r="K345" s="90">
        <v>1.1873</v>
      </c>
      <c r="L345" s="78">
        <v>500</v>
      </c>
      <c r="M345" s="90">
        <v>0.5724</v>
      </c>
      <c r="N345" s="90">
        <v>1.2588</v>
      </c>
    </row>
    <row r="346" spans="3:14" ht="15">
      <c r="C346" s="78">
        <f t="shared" si="2"/>
        <v>26</v>
      </c>
      <c r="D346" s="90">
        <v>0.532</v>
      </c>
      <c r="E346" s="66">
        <v>1.0961</v>
      </c>
      <c r="F346" s="78">
        <f t="shared" si="3"/>
        <v>47</v>
      </c>
      <c r="G346" s="90">
        <v>0.5473</v>
      </c>
      <c r="H346" s="90">
        <v>1.1557</v>
      </c>
      <c r="I346" s="78">
        <v>74</v>
      </c>
      <c r="J346" s="90">
        <v>0.5557</v>
      </c>
      <c r="K346" s="90">
        <v>1.189</v>
      </c>
      <c r="L346" s="78">
        <v>750</v>
      </c>
      <c r="M346" s="90">
        <v>0.5738</v>
      </c>
      <c r="N346" s="90">
        <v>1.2651</v>
      </c>
    </row>
    <row r="347" spans="3:14" ht="15">
      <c r="C347" s="78">
        <f t="shared" si="2"/>
        <v>27</v>
      </c>
      <c r="D347" s="90">
        <v>0.5332</v>
      </c>
      <c r="E347" s="66">
        <v>1.1004</v>
      </c>
      <c r="F347" s="78">
        <f t="shared" si="3"/>
        <v>48</v>
      </c>
      <c r="G347" s="90">
        <v>0.5477</v>
      </c>
      <c r="H347" s="90">
        <v>1.1574</v>
      </c>
      <c r="I347" s="78">
        <v>76</v>
      </c>
      <c r="J347" s="90">
        <v>0.5561</v>
      </c>
      <c r="K347" s="90">
        <v>1.1906</v>
      </c>
      <c r="L347" s="78">
        <v>1000</v>
      </c>
      <c r="M347" s="90">
        <v>0.5745</v>
      </c>
      <c r="N347" s="90">
        <v>1.2685</v>
      </c>
    </row>
    <row r="348" spans="3:14" ht="15">
      <c r="C348" s="78">
        <f t="shared" si="2"/>
        <v>28</v>
      </c>
      <c r="D348" s="90">
        <v>0.5343</v>
      </c>
      <c r="E348" s="66">
        <v>1.1047</v>
      </c>
      <c r="F348" s="66"/>
      <c r="G348" s="66"/>
      <c r="H348" s="66"/>
      <c r="I348" s="66"/>
      <c r="J348" s="66"/>
      <c r="K348" s="66"/>
      <c r="L348" s="66"/>
      <c r="M348" s="66"/>
      <c r="N348" s="66"/>
    </row>
    <row r="351" ht="15">
      <c r="C351" s="56" t="s">
        <v>75</v>
      </c>
    </row>
    <row r="353" ht="15">
      <c r="C353" s="56" t="s">
        <v>74</v>
      </c>
    </row>
    <row r="355" ht="15"/>
    <row r="356" ht="15"/>
    <row r="357" ht="15"/>
    <row r="361" ht="15">
      <c r="C361" s="56" t="s">
        <v>73</v>
      </c>
    </row>
    <row r="363" spans="3:15" ht="15">
      <c r="C363" s="91" t="s">
        <v>34</v>
      </c>
      <c r="D363" s="296" t="s">
        <v>72</v>
      </c>
      <c r="E363" s="297"/>
      <c r="F363" s="297"/>
      <c r="G363" s="297"/>
      <c r="H363" s="297"/>
      <c r="I363" s="297"/>
      <c r="J363" s="297"/>
      <c r="K363" s="297"/>
      <c r="L363" s="297"/>
      <c r="M363" s="297"/>
      <c r="N363" s="297"/>
      <c r="O363" s="298"/>
    </row>
    <row r="364" spans="3:15" ht="15">
      <c r="C364" s="67"/>
      <c r="D364" s="66">
        <v>0.99</v>
      </c>
      <c r="E364" s="66">
        <v>0.95</v>
      </c>
      <c r="F364" s="66">
        <v>0.9</v>
      </c>
      <c r="G364" s="66">
        <v>0.8</v>
      </c>
      <c r="H364" s="66">
        <v>0.7</v>
      </c>
      <c r="I364" s="66">
        <v>0.5</v>
      </c>
      <c r="J364" s="66">
        <v>0.3</v>
      </c>
      <c r="K364" s="66">
        <v>0.2</v>
      </c>
      <c r="L364" s="66">
        <v>0.1</v>
      </c>
      <c r="M364" s="66">
        <v>0.05</v>
      </c>
      <c r="N364" s="66">
        <v>0.01</v>
      </c>
      <c r="O364" s="66">
        <v>0.001</v>
      </c>
    </row>
    <row r="365" spans="3:15" ht="15">
      <c r="C365" s="92">
        <v>1</v>
      </c>
      <c r="D365" s="88">
        <v>0.000157</v>
      </c>
      <c r="E365" s="88">
        <v>0.00193</v>
      </c>
      <c r="F365" s="88">
        <v>0.0158</v>
      </c>
      <c r="G365" s="88">
        <v>0.0642</v>
      </c>
      <c r="H365" s="88">
        <v>0.148</v>
      </c>
      <c r="I365" s="88">
        <v>0.455</v>
      </c>
      <c r="J365" s="88">
        <v>1.074</v>
      </c>
      <c r="K365" s="88">
        <v>1.642</v>
      </c>
      <c r="L365" s="88">
        <v>2.706</v>
      </c>
      <c r="M365" s="88">
        <v>3.841</v>
      </c>
      <c r="N365" s="88">
        <v>6.635</v>
      </c>
      <c r="O365" s="88">
        <v>10.847</v>
      </c>
    </row>
    <row r="366" spans="3:15" ht="15">
      <c r="C366" s="93">
        <f>+C365+1</f>
        <v>2</v>
      </c>
      <c r="D366" s="82">
        <v>0.0201</v>
      </c>
      <c r="E366" s="82">
        <v>0.105</v>
      </c>
      <c r="F366" s="82">
        <v>0.211</v>
      </c>
      <c r="G366" s="82">
        <v>0.446</v>
      </c>
      <c r="H366" s="82">
        <v>0.713</v>
      </c>
      <c r="I366" s="82">
        <v>1.386</v>
      </c>
      <c r="J366" s="82">
        <v>2.408</v>
      </c>
      <c r="K366" s="82">
        <v>3.219</v>
      </c>
      <c r="L366" s="82">
        <v>4.605</v>
      </c>
      <c r="M366" s="82">
        <v>5.991</v>
      </c>
      <c r="N366" s="82">
        <v>9.21</v>
      </c>
      <c r="O366" s="82">
        <v>13.815</v>
      </c>
    </row>
    <row r="367" spans="3:15" ht="15">
      <c r="C367" s="93">
        <f>+C366+1</f>
        <v>3</v>
      </c>
      <c r="D367" s="82">
        <v>0.115</v>
      </c>
      <c r="E367" s="82">
        <v>0.352</v>
      </c>
      <c r="F367" s="82">
        <v>0.584</v>
      </c>
      <c r="G367" s="82">
        <v>1.005</v>
      </c>
      <c r="H367" s="82">
        <v>1.424</v>
      </c>
      <c r="I367" s="82">
        <v>2.366</v>
      </c>
      <c r="J367" s="82">
        <v>3.665</v>
      </c>
      <c r="K367" s="82">
        <v>4.642</v>
      </c>
      <c r="L367" s="82">
        <v>6.251</v>
      </c>
      <c r="M367" s="82">
        <v>7.813</v>
      </c>
      <c r="N367" s="82">
        <v>11.345</v>
      </c>
      <c r="O367" s="82">
        <v>16.868</v>
      </c>
    </row>
    <row r="368" spans="3:15" ht="15">
      <c r="C368" s="93">
        <f>+C367+1</f>
        <v>4</v>
      </c>
      <c r="D368" s="82">
        <v>0.297</v>
      </c>
      <c r="E368" s="82">
        <v>0.711</v>
      </c>
      <c r="F368" s="82">
        <v>1.064</v>
      </c>
      <c r="G368" s="82">
        <v>1.649</v>
      </c>
      <c r="H368" s="82">
        <v>2.195</v>
      </c>
      <c r="I368" s="82">
        <v>3.357</v>
      </c>
      <c r="J368" s="82">
        <v>4.878</v>
      </c>
      <c r="K368" s="82">
        <v>5.989</v>
      </c>
      <c r="L368" s="82">
        <v>7.779</v>
      </c>
      <c r="M368" s="82">
        <v>9.488</v>
      </c>
      <c r="N368" s="82">
        <v>13.271</v>
      </c>
      <c r="O368" s="82">
        <v>18.468</v>
      </c>
    </row>
    <row r="369" spans="3:15" ht="15">
      <c r="C369" s="93">
        <f>+C368+1</f>
        <v>5</v>
      </c>
      <c r="D369" s="82">
        <v>0.554</v>
      </c>
      <c r="E369" s="82">
        <v>1.145</v>
      </c>
      <c r="F369" s="82">
        <v>1.61</v>
      </c>
      <c r="G369" s="82">
        <v>2.343</v>
      </c>
      <c r="H369" s="82">
        <v>3</v>
      </c>
      <c r="I369" s="82">
        <v>4.351</v>
      </c>
      <c r="J369" s="82">
        <v>6.064</v>
      </c>
      <c r="K369" s="82">
        <v>7.289</v>
      </c>
      <c r="L369" s="82">
        <v>9.236</v>
      </c>
      <c r="M369" s="82">
        <v>11.07</v>
      </c>
      <c r="N369" s="82">
        <v>15.086</v>
      </c>
      <c r="O369" s="82">
        <v>20.512</v>
      </c>
    </row>
    <row r="370" spans="3:15" ht="15">
      <c r="C370" s="93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3:15" ht="15">
      <c r="C371" s="93">
        <f>+C369+1</f>
        <v>6</v>
      </c>
      <c r="D371" s="82">
        <v>0.872</v>
      </c>
      <c r="E371" s="82">
        <v>1.635</v>
      </c>
      <c r="F371" s="82">
        <v>2.204</v>
      </c>
      <c r="G371" s="82">
        <v>3.07</v>
      </c>
      <c r="H371" s="82">
        <v>3.828</v>
      </c>
      <c r="I371" s="82">
        <v>5.348</v>
      </c>
      <c r="J371" s="82">
        <v>7.231</v>
      </c>
      <c r="K371" s="82">
        <v>8.558</v>
      </c>
      <c r="L371" s="82">
        <v>10.643</v>
      </c>
      <c r="M371" s="82">
        <v>12.592</v>
      </c>
      <c r="N371" s="82">
        <v>16.812</v>
      </c>
      <c r="O371" s="82">
        <v>22.457</v>
      </c>
    </row>
    <row r="372" spans="3:15" ht="15">
      <c r="C372" s="93">
        <f>+C371+1</f>
        <v>7</v>
      </c>
      <c r="D372" s="82">
        <v>1.239</v>
      </c>
      <c r="E372" s="82">
        <v>2.167</v>
      </c>
      <c r="F372" s="82">
        <v>2.833</v>
      </c>
      <c r="G372" s="82">
        <v>3.822</v>
      </c>
      <c r="H372" s="82">
        <v>4.671</v>
      </c>
      <c r="I372" s="82">
        <v>6.346</v>
      </c>
      <c r="J372" s="82">
        <v>8.383</v>
      </c>
      <c r="K372" s="82">
        <v>9.803</v>
      </c>
      <c r="L372" s="82">
        <v>12.017</v>
      </c>
      <c r="M372" s="82">
        <v>14.067</v>
      </c>
      <c r="N372" s="82">
        <v>18.475</v>
      </c>
      <c r="O372" s="82">
        <v>24.372</v>
      </c>
    </row>
    <row r="373" spans="3:15" ht="15">
      <c r="C373" s="93">
        <f>+C372+1</f>
        <v>8</v>
      </c>
      <c r="D373" s="82">
        <v>1.646</v>
      </c>
      <c r="E373" s="82">
        <v>2.733</v>
      </c>
      <c r="F373" s="82">
        <v>3.29</v>
      </c>
      <c r="G373" s="82">
        <v>4.594</v>
      </c>
      <c r="H373" s="82">
        <v>5.527</v>
      </c>
      <c r="I373" s="82">
        <v>7.344</v>
      </c>
      <c r="J373" s="82">
        <v>9.524</v>
      </c>
      <c r="K373" s="82">
        <v>11.03</v>
      </c>
      <c r="L373" s="82">
        <v>13.362</v>
      </c>
      <c r="M373" s="82">
        <v>15.507</v>
      </c>
      <c r="N373" s="82">
        <v>20.09</v>
      </c>
      <c r="O373" s="82">
        <v>26.475</v>
      </c>
    </row>
    <row r="374" spans="3:15" ht="15">
      <c r="C374" s="93">
        <f>+C373+1</f>
        <v>9</v>
      </c>
      <c r="D374" s="82">
        <v>2.088</v>
      </c>
      <c r="E374" s="82">
        <v>3.325</v>
      </c>
      <c r="F374" s="82">
        <v>4.168</v>
      </c>
      <c r="G374" s="82">
        <v>5.38</v>
      </c>
      <c r="H374" s="82">
        <v>6.393</v>
      </c>
      <c r="I374" s="82">
        <v>8.343</v>
      </c>
      <c r="J374" s="82">
        <v>10.656</v>
      </c>
      <c r="K374" s="82">
        <v>12.242</v>
      </c>
      <c r="L374" s="82">
        <v>14.684</v>
      </c>
      <c r="M374" s="82">
        <v>16.919</v>
      </c>
      <c r="N374" s="82">
        <v>21.666</v>
      </c>
      <c r="O374" s="82">
        <v>27.827</v>
      </c>
    </row>
    <row r="375" spans="3:15" ht="15">
      <c r="C375" s="93">
        <f>+C374+1</f>
        <v>10</v>
      </c>
      <c r="D375" s="82">
        <v>2.558</v>
      </c>
      <c r="E375" s="82">
        <v>3.94</v>
      </c>
      <c r="F375" s="82">
        <v>5.179</v>
      </c>
      <c r="G375" s="82">
        <v>6.179</v>
      </c>
      <c r="H375" s="82">
        <v>7.267</v>
      </c>
      <c r="I375" s="82">
        <v>9.342</v>
      </c>
      <c r="J375" s="82">
        <v>11.781</v>
      </c>
      <c r="K375" s="82">
        <v>13.442</v>
      </c>
      <c r="L375" s="82">
        <v>15.987</v>
      </c>
      <c r="M375" s="82">
        <v>18.307</v>
      </c>
      <c r="N375" s="82">
        <v>23.209</v>
      </c>
      <c r="O375" s="82">
        <v>29.588</v>
      </c>
    </row>
    <row r="376" spans="3:15" ht="15">
      <c r="C376" s="93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3:15" ht="15">
      <c r="C377" s="93">
        <f>+C375+1</f>
        <v>11</v>
      </c>
      <c r="D377" s="82">
        <v>3.053</v>
      </c>
      <c r="E377" s="82">
        <v>4.575</v>
      </c>
      <c r="F377" s="82">
        <v>5.578</v>
      </c>
      <c r="G377" s="82">
        <v>6.989</v>
      </c>
      <c r="H377" s="82">
        <v>8.148</v>
      </c>
      <c r="I377" s="82">
        <v>10.341</v>
      </c>
      <c r="J377" s="82">
        <v>12.899</v>
      </c>
      <c r="K377" s="82">
        <v>14.631</v>
      </c>
      <c r="L377" s="82">
        <v>17.275</v>
      </c>
      <c r="M377" s="82">
        <v>19.675</v>
      </c>
      <c r="N377" s="82">
        <v>24.725</v>
      </c>
      <c r="O377" s="82">
        <v>31.814</v>
      </c>
    </row>
    <row r="378" spans="3:15" ht="15">
      <c r="C378" s="93">
        <f>+C377+1</f>
        <v>12</v>
      </c>
      <c r="D378" s="82">
        <v>3.571</v>
      </c>
      <c r="E378" s="82">
        <v>5.226</v>
      </c>
      <c r="F378" s="82">
        <v>6.304</v>
      </c>
      <c r="G378" s="82">
        <v>7.807</v>
      </c>
      <c r="H378" s="82">
        <v>9.034</v>
      </c>
      <c r="I378" s="82">
        <v>11.34</v>
      </c>
      <c r="J378" s="82">
        <v>14.011</v>
      </c>
      <c r="K378" s="82">
        <v>15.812</v>
      </c>
      <c r="L378" s="82">
        <v>18.549</v>
      </c>
      <c r="M378" s="82">
        <v>21.026</v>
      </c>
      <c r="N378" s="82">
        <v>26.217</v>
      </c>
      <c r="O378" s="82">
        <v>32.929</v>
      </c>
    </row>
    <row r="379" spans="3:15" ht="15">
      <c r="C379" s="93">
        <f>+C378+1</f>
        <v>13</v>
      </c>
      <c r="D379" s="82">
        <v>4.107</v>
      </c>
      <c r="E379" s="82">
        <v>5.892</v>
      </c>
      <c r="F379" s="82">
        <v>7.042</v>
      </c>
      <c r="G379" s="82">
        <v>8.634</v>
      </c>
      <c r="H379" s="82">
        <v>9.926</v>
      </c>
      <c r="I379" s="82">
        <v>12.34</v>
      </c>
      <c r="J379" s="82">
        <v>15.119</v>
      </c>
      <c r="K379" s="82">
        <v>16.985</v>
      </c>
      <c r="L379" s="82">
        <v>19.812</v>
      </c>
      <c r="M379" s="82">
        <v>22.362</v>
      </c>
      <c r="N379" s="82">
        <v>27.688</v>
      </c>
      <c r="O379" s="82">
        <v>34.528</v>
      </c>
    </row>
    <row r="380" spans="3:15" ht="15">
      <c r="C380" s="93">
        <f>+C379+1</f>
        <v>14</v>
      </c>
      <c r="D380" s="82">
        <v>4.66</v>
      </c>
      <c r="E380" s="82">
        <v>6.571</v>
      </c>
      <c r="F380" s="82">
        <v>7.79</v>
      </c>
      <c r="G380" s="82">
        <v>9.467</v>
      </c>
      <c r="H380" s="82">
        <v>10.821</v>
      </c>
      <c r="I380" s="82">
        <v>13.339</v>
      </c>
      <c r="J380" s="82">
        <v>16.222</v>
      </c>
      <c r="K380" s="82">
        <v>18.151</v>
      </c>
      <c r="L380" s="82">
        <v>21.064</v>
      </c>
      <c r="M380" s="82">
        <v>23.685</v>
      </c>
      <c r="N380" s="82">
        <v>29.141</v>
      </c>
      <c r="O380" s="82">
        <v>36.129</v>
      </c>
    </row>
    <row r="381" spans="3:15" ht="15">
      <c r="C381" s="93">
        <f>+C380+1</f>
        <v>15</v>
      </c>
      <c r="D381" s="82">
        <v>5.229</v>
      </c>
      <c r="E381" s="82">
        <v>7.261</v>
      </c>
      <c r="F381" s="82">
        <v>8.547</v>
      </c>
      <c r="G381" s="82">
        <v>10.307</v>
      </c>
      <c r="H381" s="82">
        <v>11.721</v>
      </c>
      <c r="I381" s="82">
        <v>14.339</v>
      </c>
      <c r="J381" s="82">
        <v>17.322</v>
      </c>
      <c r="K381" s="82">
        <v>19.311</v>
      </c>
      <c r="L381" s="82">
        <v>22.307</v>
      </c>
      <c r="M381" s="82">
        <v>24.996</v>
      </c>
      <c r="N381" s="82">
        <v>30.578</v>
      </c>
      <c r="O381" s="82">
        <v>37.697</v>
      </c>
    </row>
    <row r="382" spans="3:15" ht="15">
      <c r="C382" s="93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3:15" ht="15">
      <c r="C383" s="93">
        <f>+C381+1</f>
        <v>16</v>
      </c>
      <c r="D383" s="82">
        <v>5.812</v>
      </c>
      <c r="E383" s="82">
        <v>7.962</v>
      </c>
      <c r="F383" s="82">
        <v>9.312</v>
      </c>
      <c r="G383" s="82">
        <v>11.152</v>
      </c>
      <c r="H383" s="82">
        <v>12.624</v>
      </c>
      <c r="I383" s="82">
        <v>15.338</v>
      </c>
      <c r="J383" s="82">
        <v>18.418</v>
      </c>
      <c r="K383" s="82">
        <v>20.465</v>
      </c>
      <c r="L383" s="82">
        <v>23.543</v>
      </c>
      <c r="M383" s="82">
        <v>26.926</v>
      </c>
      <c r="N383" s="82">
        <v>32</v>
      </c>
      <c r="O383" s="82">
        <v>39.752</v>
      </c>
    </row>
    <row r="384" spans="3:15" ht="15">
      <c r="C384" s="93">
        <f>+C383+1</f>
        <v>17</v>
      </c>
      <c r="D384" s="82">
        <v>6.408</v>
      </c>
      <c r="E384" s="82">
        <v>8.672</v>
      </c>
      <c r="F384" s="82">
        <v>10.085</v>
      </c>
      <c r="G384" s="82">
        <v>12.002</v>
      </c>
      <c r="H384" s="82">
        <v>13.531</v>
      </c>
      <c r="I384" s="82">
        <v>16.338</v>
      </c>
      <c r="J384" s="82">
        <v>19.511</v>
      </c>
      <c r="K384" s="82">
        <v>21.615</v>
      </c>
      <c r="L384" s="82">
        <v>24.769</v>
      </c>
      <c r="M384" s="82">
        <v>27.587</v>
      </c>
      <c r="N384" s="82">
        <v>33.409</v>
      </c>
      <c r="O384" s="82">
        <v>40.79</v>
      </c>
    </row>
    <row r="385" spans="3:15" ht="15">
      <c r="C385" s="93">
        <f>+C384+1</f>
        <v>18</v>
      </c>
      <c r="D385" s="82">
        <v>7.015</v>
      </c>
      <c r="E385" s="82">
        <v>9.39</v>
      </c>
      <c r="F385" s="82">
        <v>10.865</v>
      </c>
      <c r="G385" s="82">
        <v>12.857</v>
      </c>
      <c r="H385" s="82">
        <v>14.44</v>
      </c>
      <c r="I385" s="82">
        <v>17.338</v>
      </c>
      <c r="J385" s="82">
        <v>20.601</v>
      </c>
      <c r="K385" s="82">
        <v>22.76</v>
      </c>
      <c r="L385" s="82">
        <v>25.989</v>
      </c>
      <c r="M385" s="82">
        <v>28.869</v>
      </c>
      <c r="N385" s="82">
        <v>34.805</v>
      </c>
      <c r="O385" s="82">
        <v>42.312</v>
      </c>
    </row>
    <row r="386" spans="3:15" ht="15">
      <c r="C386" s="93">
        <f>+C385+1</f>
        <v>19</v>
      </c>
      <c r="D386" s="82">
        <v>7.633</v>
      </c>
      <c r="E386" s="82">
        <v>10.117</v>
      </c>
      <c r="F386" s="82">
        <v>11.651</v>
      </c>
      <c r="G386" s="82">
        <v>13.716</v>
      </c>
      <c r="H386" s="82">
        <v>15.352</v>
      </c>
      <c r="I386" s="82">
        <v>18.338</v>
      </c>
      <c r="J386" s="82">
        <v>21.689</v>
      </c>
      <c r="K386" s="82">
        <v>23.9</v>
      </c>
      <c r="L386" s="82">
        <v>27.204</v>
      </c>
      <c r="M386" s="82">
        <v>30.144</v>
      </c>
      <c r="N386" s="82">
        <v>36.191</v>
      </c>
      <c r="O386" s="82">
        <v>43.82</v>
      </c>
    </row>
    <row r="387" spans="3:15" ht="15">
      <c r="C387" s="93">
        <f>+C386+1</f>
        <v>20</v>
      </c>
      <c r="D387" s="82">
        <v>8.06</v>
      </c>
      <c r="E387" s="82">
        <v>10.851</v>
      </c>
      <c r="F387" s="82">
        <v>12.445</v>
      </c>
      <c r="G387" s="82">
        <v>14.578</v>
      </c>
      <c r="H387" s="82">
        <v>16.266</v>
      </c>
      <c r="I387" s="82">
        <v>19.337</v>
      </c>
      <c r="J387" s="82">
        <v>22.775</v>
      </c>
      <c r="K387" s="82">
        <v>25.038</v>
      </c>
      <c r="L387" s="82">
        <v>28.412</v>
      </c>
      <c r="M387" s="82">
        <v>31.41</v>
      </c>
      <c r="N387" s="82">
        <v>37.566</v>
      </c>
      <c r="O387" s="82">
        <v>45.715</v>
      </c>
    </row>
    <row r="388" spans="3:15" ht="15">
      <c r="C388" s="93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3:15" ht="15">
      <c r="C389" s="93">
        <f>+C387+1</f>
        <v>21</v>
      </c>
      <c r="D389" s="82">
        <v>8.897</v>
      </c>
      <c r="E389" s="82">
        <v>11.501</v>
      </c>
      <c r="F389" s="82">
        <v>13.24</v>
      </c>
      <c r="G389" s="82">
        <v>15.445</v>
      </c>
      <c r="H389" s="82">
        <v>17.182</v>
      </c>
      <c r="I389" s="82">
        <v>20.337</v>
      </c>
      <c r="J389" s="82">
        <v>23.858</v>
      </c>
      <c r="K389" s="82">
        <v>29.615</v>
      </c>
      <c r="L389" s="82">
        <v>29.615</v>
      </c>
      <c r="M389" s="82">
        <v>32.671</v>
      </c>
      <c r="N389" s="82">
        <v>38.932</v>
      </c>
      <c r="O389" s="82">
        <v>46.797</v>
      </c>
    </row>
    <row r="390" spans="3:15" ht="15">
      <c r="C390" s="93">
        <f>+C389+1</f>
        <v>22</v>
      </c>
      <c r="D390" s="82">
        <v>9.542</v>
      </c>
      <c r="E390" s="82">
        <v>12.338</v>
      </c>
      <c r="F390" s="82">
        <v>14.041</v>
      </c>
      <c r="G390" s="82">
        <v>16.314</v>
      </c>
      <c r="H390" s="82">
        <v>18.101</v>
      </c>
      <c r="I390" s="82">
        <v>21.337</v>
      </c>
      <c r="J390" s="82">
        <v>24.939</v>
      </c>
      <c r="K390" s="82">
        <v>30.813</v>
      </c>
      <c r="L390" s="82">
        <v>30.812</v>
      </c>
      <c r="M390" s="82">
        <v>33.924</v>
      </c>
      <c r="N390" s="82">
        <v>40.289</v>
      </c>
      <c r="O390" s="82">
        <v>48.268</v>
      </c>
    </row>
    <row r="391" spans="3:15" ht="15">
      <c r="C391" s="93">
        <f>+C390+1</f>
        <v>23</v>
      </c>
      <c r="D391" s="82">
        <v>10.156</v>
      </c>
      <c r="E391" s="82">
        <v>13.091</v>
      </c>
      <c r="F391" s="82">
        <v>14.848</v>
      </c>
      <c r="G391" s="82">
        <v>17.187</v>
      </c>
      <c r="H391" s="82">
        <v>19.021</v>
      </c>
      <c r="I391" s="82">
        <v>22.337</v>
      </c>
      <c r="J391" s="82">
        <v>26.018</v>
      </c>
      <c r="K391" s="82">
        <v>32.007</v>
      </c>
      <c r="L391" s="82">
        <v>32.007</v>
      </c>
      <c r="M391" s="82">
        <v>35.172</v>
      </c>
      <c r="N391" s="82">
        <v>41.638</v>
      </c>
      <c r="O391" s="82" t="s">
        <v>71</v>
      </c>
    </row>
    <row r="392" spans="3:15" ht="15">
      <c r="C392" s="93">
        <f>+C391+1</f>
        <v>24</v>
      </c>
      <c r="D392" s="82">
        <v>10.856</v>
      </c>
      <c r="E392" s="82">
        <v>13.848</v>
      </c>
      <c r="F392" s="82">
        <v>15.659</v>
      </c>
      <c r="G392" s="82">
        <v>18.062</v>
      </c>
      <c r="H392" s="82">
        <v>19.943</v>
      </c>
      <c r="I392" s="82">
        <v>23.337</v>
      </c>
      <c r="J392" s="82">
        <v>27.096</v>
      </c>
      <c r="K392" s="82">
        <v>33.176</v>
      </c>
      <c r="L392" s="82">
        <v>33.179</v>
      </c>
      <c r="M392" s="82">
        <v>36.415</v>
      </c>
      <c r="N392" s="82">
        <v>42.98</v>
      </c>
      <c r="O392" s="82">
        <v>51.179</v>
      </c>
    </row>
    <row r="393" spans="3:15" ht="15">
      <c r="C393" s="93">
        <f>+C392+1</f>
        <v>25</v>
      </c>
      <c r="D393" s="82">
        <v>11.524</v>
      </c>
      <c r="E393" s="82">
        <v>14.611</v>
      </c>
      <c r="F393" s="82">
        <v>16.473</v>
      </c>
      <c r="G393" s="82">
        <v>18.94</v>
      </c>
      <c r="H393" s="82">
        <v>20.867</v>
      </c>
      <c r="I393" s="82">
        <v>24.337</v>
      </c>
      <c r="J393" s="82">
        <v>28.172</v>
      </c>
      <c r="K393" s="82">
        <v>34.382</v>
      </c>
      <c r="L393" s="82">
        <v>34.182</v>
      </c>
      <c r="M393" s="82">
        <v>37.652</v>
      </c>
      <c r="N393" s="82">
        <v>44.314</v>
      </c>
      <c r="O393" s="82">
        <v>52.62</v>
      </c>
    </row>
    <row r="394" spans="3:15" ht="15">
      <c r="C394" s="93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3:15" ht="15">
      <c r="C395" s="93">
        <f>+C393+1</f>
        <v>26</v>
      </c>
      <c r="D395" s="82">
        <v>12.198</v>
      </c>
      <c r="E395" s="82">
        <v>15.379</v>
      </c>
      <c r="F395" s="82">
        <v>17.292</v>
      </c>
      <c r="G395" s="82">
        <v>19.82</v>
      </c>
      <c r="H395" s="82">
        <v>21.792</v>
      </c>
      <c r="I395" s="82">
        <v>25.336</v>
      </c>
      <c r="J395" s="82">
        <v>29.246</v>
      </c>
      <c r="K395" s="82">
        <v>35.563</v>
      </c>
      <c r="L395" s="82">
        <v>35.563</v>
      </c>
      <c r="M395" s="82">
        <v>38.863</v>
      </c>
      <c r="N395" s="82">
        <v>45.642</v>
      </c>
      <c r="O395" s="82">
        <v>54.052</v>
      </c>
    </row>
    <row r="396" spans="3:15" ht="15">
      <c r="C396" s="93">
        <f>+C395+1</f>
        <v>27</v>
      </c>
      <c r="D396" s="82">
        <v>12.879</v>
      </c>
      <c r="E396" s="82">
        <v>16.151</v>
      </c>
      <c r="F396" s="82">
        <v>18.114</v>
      </c>
      <c r="G396" s="82">
        <v>20.703</v>
      </c>
      <c r="H396" s="82">
        <v>22.719</v>
      </c>
      <c r="I396" s="82">
        <v>26.336</v>
      </c>
      <c r="J396" s="82">
        <v>30.319</v>
      </c>
      <c r="K396" s="82">
        <v>36.741</v>
      </c>
      <c r="L396" s="82">
        <v>36.741</v>
      </c>
      <c r="M396" s="82">
        <v>40.113</v>
      </c>
      <c r="N396" s="82">
        <v>46.963</v>
      </c>
      <c r="O396" s="82">
        <v>55.476</v>
      </c>
    </row>
    <row r="397" spans="3:15" ht="15">
      <c r="C397" s="93">
        <f>+C396+1</f>
        <v>28</v>
      </c>
      <c r="D397" s="82">
        <v>13.565</v>
      </c>
      <c r="E397" s="82">
        <v>16.928</v>
      </c>
      <c r="F397" s="82">
        <v>18.939</v>
      </c>
      <c r="G397" s="82">
        <v>21.558</v>
      </c>
      <c r="H397" s="82">
        <v>23.647</v>
      </c>
      <c r="I397" s="82">
        <v>27.336</v>
      </c>
      <c r="J397" s="82">
        <v>31.391</v>
      </c>
      <c r="K397" s="82">
        <v>37.916</v>
      </c>
      <c r="L397" s="82">
        <v>37.916</v>
      </c>
      <c r="M397" s="82">
        <v>41.337</v>
      </c>
      <c r="N397" s="82">
        <v>48.278</v>
      </c>
      <c r="O397" s="82">
        <v>56.293</v>
      </c>
    </row>
    <row r="398" spans="3:15" ht="15">
      <c r="C398" s="93">
        <f>+C397+1</f>
        <v>29</v>
      </c>
      <c r="D398" s="82">
        <v>14.236</v>
      </c>
      <c r="E398" s="82">
        <v>17.708</v>
      </c>
      <c r="F398" s="82">
        <v>19.768</v>
      </c>
      <c r="G398" s="82">
        <v>22.475</v>
      </c>
      <c r="H398" s="82">
        <v>24.577</v>
      </c>
      <c r="I398" s="82">
        <v>28.336</v>
      </c>
      <c r="J398" s="82">
        <v>32.461</v>
      </c>
      <c r="K398" s="82">
        <v>39.087</v>
      </c>
      <c r="L398" s="82">
        <v>39.087</v>
      </c>
      <c r="M398" s="82">
        <v>42.557</v>
      </c>
      <c r="N398" s="82">
        <v>49.588</v>
      </c>
      <c r="O398" s="82">
        <v>58.393</v>
      </c>
    </row>
    <row r="399" spans="3:15" ht="15">
      <c r="C399" s="94">
        <f>+C398+1</f>
        <v>30</v>
      </c>
      <c r="D399" s="83">
        <v>14.553</v>
      </c>
      <c r="E399" s="83">
        <v>18.473</v>
      </c>
      <c r="F399" s="83">
        <v>20.579</v>
      </c>
      <c r="G399" s="83">
        <v>23.364</v>
      </c>
      <c r="H399" s="83">
        <v>25.508</v>
      </c>
      <c r="I399" s="83">
        <v>29.336</v>
      </c>
      <c r="J399" s="83">
        <v>33.53</v>
      </c>
      <c r="K399" s="83">
        <v>40.256</v>
      </c>
      <c r="L399" s="83">
        <v>40.256</v>
      </c>
      <c r="M399" s="83">
        <v>43.773</v>
      </c>
      <c r="N399" s="83">
        <v>50.892</v>
      </c>
      <c r="O399" s="83">
        <v>59.991</v>
      </c>
    </row>
    <row r="400" ht="15">
      <c r="C400" s="95"/>
    </row>
    <row r="401" ht="15"/>
    <row r="402" ht="15"/>
    <row r="403" ht="15"/>
    <row r="404" ht="15"/>
    <row r="405" spans="3:13" ht="16.5" customHeight="1">
      <c r="C405" s="96" t="s">
        <v>70</v>
      </c>
      <c r="E405" s="56" t="s">
        <v>69</v>
      </c>
      <c r="K405" s="295" t="s">
        <v>31</v>
      </c>
      <c r="L405" s="62"/>
      <c r="M405" s="62"/>
    </row>
    <row r="406" spans="11:13" ht="15.75">
      <c r="K406" s="295"/>
      <c r="L406" s="62" t="s">
        <v>60</v>
      </c>
      <c r="M406" s="55" t="s">
        <v>90</v>
      </c>
    </row>
    <row r="407" spans="3:13" ht="15">
      <c r="C407" s="70"/>
      <c r="D407" s="72">
        <v>0.2</v>
      </c>
      <c r="E407" s="72">
        <v>0.1</v>
      </c>
      <c r="F407" s="72">
        <v>0.05</v>
      </c>
      <c r="G407" s="97">
        <v>0.01</v>
      </c>
      <c r="K407" s="98">
        <v>1001</v>
      </c>
      <c r="L407" s="57">
        <v>0.999</v>
      </c>
      <c r="M407" s="57">
        <v>-3.05</v>
      </c>
    </row>
    <row r="408" spans="3:13" ht="15">
      <c r="C408" s="99" t="s">
        <v>24</v>
      </c>
      <c r="D408" s="67"/>
      <c r="E408" s="67"/>
      <c r="F408" s="67"/>
      <c r="G408" s="69"/>
      <c r="K408" s="98">
        <v>1005</v>
      </c>
      <c r="L408" s="57">
        <v>0.995</v>
      </c>
      <c r="M408" s="57">
        <v>-2.58</v>
      </c>
    </row>
    <row r="409" spans="3:13" ht="15">
      <c r="C409" s="78">
        <v>5</v>
      </c>
      <c r="D409" s="66">
        <v>0.45</v>
      </c>
      <c r="E409" s="66">
        <v>0.51</v>
      </c>
      <c r="F409" s="66">
        <v>0.56</v>
      </c>
      <c r="G409" s="66">
        <v>0.67</v>
      </c>
      <c r="K409" s="98">
        <v>1010</v>
      </c>
      <c r="L409" s="57">
        <v>0.99</v>
      </c>
      <c r="M409" s="57">
        <v>-2.33</v>
      </c>
    </row>
    <row r="410" spans="3:13" ht="15">
      <c r="C410" s="78">
        <v>10</v>
      </c>
      <c r="D410" s="66">
        <v>0.32</v>
      </c>
      <c r="E410" s="66">
        <v>0.37</v>
      </c>
      <c r="F410" s="66">
        <v>0.41</v>
      </c>
      <c r="G410" s="66">
        <v>0.49</v>
      </c>
      <c r="K410" s="57">
        <v>1.05</v>
      </c>
      <c r="L410" s="57">
        <v>0.95</v>
      </c>
      <c r="M410" s="57">
        <v>-1.64</v>
      </c>
    </row>
    <row r="411" spans="3:13" ht="15">
      <c r="C411" s="78">
        <v>15</v>
      </c>
      <c r="D411" s="66">
        <v>0.27</v>
      </c>
      <c r="E411" s="66">
        <v>0.3</v>
      </c>
      <c r="F411" s="66">
        <v>0.34</v>
      </c>
      <c r="G411" s="66">
        <v>0.4</v>
      </c>
      <c r="K411" s="57">
        <v>1.11</v>
      </c>
      <c r="L411" s="100">
        <v>0.9</v>
      </c>
      <c r="M411" s="57">
        <v>-1.28</v>
      </c>
    </row>
    <row r="412" spans="3:13" ht="15">
      <c r="C412" s="78">
        <v>20</v>
      </c>
      <c r="D412" s="66">
        <v>0.23</v>
      </c>
      <c r="E412" s="66">
        <v>0.26</v>
      </c>
      <c r="F412" s="66">
        <v>0.29</v>
      </c>
      <c r="G412" s="66">
        <v>0.36</v>
      </c>
      <c r="K412" s="57">
        <v>1.25</v>
      </c>
      <c r="L412" s="100">
        <v>0.8</v>
      </c>
      <c r="M412" s="57">
        <v>-0.84</v>
      </c>
    </row>
    <row r="413" spans="3:13" ht="15">
      <c r="C413" s="78">
        <v>25</v>
      </c>
      <c r="D413" s="66">
        <v>0.21</v>
      </c>
      <c r="E413" s="66">
        <v>0.24</v>
      </c>
      <c r="F413" s="66">
        <v>0.27</v>
      </c>
      <c r="G413" s="66">
        <v>0.32</v>
      </c>
      <c r="K413" s="57">
        <v>1.33</v>
      </c>
      <c r="L413" s="100">
        <v>0.75</v>
      </c>
      <c r="M413" s="57">
        <v>-0.67</v>
      </c>
    </row>
    <row r="414" spans="3:13" ht="15">
      <c r="C414" s="78">
        <v>30</v>
      </c>
      <c r="D414" s="66">
        <v>0.19</v>
      </c>
      <c r="E414" s="66">
        <v>0.22</v>
      </c>
      <c r="F414" s="66">
        <v>0.26</v>
      </c>
      <c r="G414" s="66">
        <v>0.29</v>
      </c>
      <c r="K414" s="57">
        <v>1.43</v>
      </c>
      <c r="L414" s="100">
        <v>0.7</v>
      </c>
      <c r="M414" s="57">
        <v>-0.52</v>
      </c>
    </row>
    <row r="415" spans="3:13" ht="15">
      <c r="C415" s="78">
        <v>35</v>
      </c>
      <c r="D415" s="66">
        <v>0.18</v>
      </c>
      <c r="E415" s="66">
        <v>0.2</v>
      </c>
      <c r="F415" s="66">
        <v>0.23</v>
      </c>
      <c r="G415" s="66">
        <v>0.27</v>
      </c>
      <c r="K415" s="57">
        <v>1.67</v>
      </c>
      <c r="L415" s="100">
        <v>0.6</v>
      </c>
      <c r="M415" s="57">
        <v>-0.25</v>
      </c>
    </row>
    <row r="416" spans="3:13" ht="15">
      <c r="C416" s="78">
        <v>40</v>
      </c>
      <c r="D416" s="66">
        <v>0.17</v>
      </c>
      <c r="E416" s="66">
        <v>0.19</v>
      </c>
      <c r="F416" s="66">
        <v>0.21</v>
      </c>
      <c r="G416" s="66">
        <v>0.25</v>
      </c>
      <c r="K416" s="57" t="s">
        <v>89</v>
      </c>
      <c r="L416" s="100">
        <v>0.5</v>
      </c>
      <c r="M416" s="57">
        <v>0</v>
      </c>
    </row>
    <row r="417" spans="3:13" ht="15">
      <c r="C417" s="78">
        <v>45</v>
      </c>
      <c r="D417" s="66">
        <v>0.16</v>
      </c>
      <c r="E417" s="66">
        <v>0.18</v>
      </c>
      <c r="F417" s="66">
        <v>0.2</v>
      </c>
      <c r="G417" s="66">
        <v>0.24</v>
      </c>
      <c r="K417" s="57">
        <v>2.5</v>
      </c>
      <c r="L417" s="100">
        <v>0.4</v>
      </c>
      <c r="M417" s="57">
        <v>0.25</v>
      </c>
    </row>
    <row r="418" spans="3:13" ht="15">
      <c r="C418" s="78">
        <v>50</v>
      </c>
      <c r="D418" s="66">
        <v>0.15</v>
      </c>
      <c r="E418" s="66">
        <v>0.17</v>
      </c>
      <c r="F418" s="66">
        <v>0.19</v>
      </c>
      <c r="G418" s="66">
        <v>0.23</v>
      </c>
      <c r="K418" s="57">
        <v>3.33</v>
      </c>
      <c r="L418" s="100">
        <v>0.3</v>
      </c>
      <c r="M418" s="57">
        <v>0.52</v>
      </c>
    </row>
    <row r="419" spans="3:13" ht="18.75" customHeight="1">
      <c r="C419" s="101" t="s">
        <v>68</v>
      </c>
      <c r="D419" s="72"/>
      <c r="E419" s="72"/>
      <c r="F419" s="72"/>
      <c r="G419" s="72"/>
      <c r="K419" s="57">
        <v>4</v>
      </c>
      <c r="L419" s="100">
        <v>0.25</v>
      </c>
      <c r="M419" s="57">
        <v>0.67</v>
      </c>
    </row>
    <row r="420" spans="3:14" ht="15">
      <c r="C420" s="68"/>
      <c r="D420" s="67"/>
      <c r="E420" s="67"/>
      <c r="F420" s="67"/>
      <c r="G420" s="67"/>
      <c r="K420" s="57">
        <v>5</v>
      </c>
      <c r="L420" s="100">
        <v>0.2</v>
      </c>
      <c r="M420" s="57">
        <v>0.84</v>
      </c>
      <c r="N420" s="56">
        <f>M421-M420</f>
        <v>0.44000000000000006</v>
      </c>
    </row>
    <row r="421" spans="11:13" ht="15">
      <c r="K421" s="57">
        <v>10</v>
      </c>
      <c r="L421" s="100">
        <v>0.1</v>
      </c>
      <c r="M421" s="57">
        <v>1.28</v>
      </c>
    </row>
    <row r="422" spans="11:14" ht="15">
      <c r="K422" s="57">
        <v>20</v>
      </c>
      <c r="L422" s="100">
        <v>0.05</v>
      </c>
      <c r="M422" s="57">
        <v>1.64</v>
      </c>
      <c r="N422" s="102">
        <f>M422+N420</f>
        <v>2.08</v>
      </c>
    </row>
    <row r="423" spans="11:13" ht="15">
      <c r="K423" s="57">
        <v>50</v>
      </c>
      <c r="L423" s="100">
        <v>0.02</v>
      </c>
      <c r="M423" s="57">
        <v>2.05</v>
      </c>
    </row>
    <row r="424" spans="11:13" ht="15">
      <c r="K424" s="57">
        <v>100</v>
      </c>
      <c r="L424" s="100">
        <v>0.01</v>
      </c>
      <c r="M424" s="57">
        <v>2.33</v>
      </c>
    </row>
    <row r="425" spans="11:13" ht="15">
      <c r="K425" s="57">
        <v>200</v>
      </c>
      <c r="L425" s="57">
        <v>0.005</v>
      </c>
      <c r="M425" s="57">
        <v>2.58</v>
      </c>
    </row>
    <row r="426" spans="11:13" ht="15">
      <c r="K426" s="57">
        <v>500</v>
      </c>
      <c r="L426" s="57">
        <v>0.002</v>
      </c>
      <c r="M426" s="57">
        <v>2.88</v>
      </c>
    </row>
    <row r="427" spans="11:13" ht="15">
      <c r="K427" s="57">
        <v>1000</v>
      </c>
      <c r="L427" s="57">
        <v>0.001</v>
      </c>
      <c r="M427" s="57">
        <v>3.09</v>
      </c>
    </row>
    <row r="428" spans="11:12" ht="15">
      <c r="K428" s="57"/>
      <c r="L428" s="57"/>
    </row>
    <row r="429" spans="11:13" ht="15">
      <c r="K429" s="57"/>
      <c r="L429" s="57"/>
      <c r="M429" s="57"/>
    </row>
    <row r="430" spans="11:13" ht="15">
      <c r="K430" s="57"/>
      <c r="L430" s="57"/>
      <c r="M430" s="57"/>
    </row>
    <row r="431" spans="11:13" ht="15">
      <c r="K431" s="57"/>
      <c r="L431" s="57"/>
      <c r="M431" s="57"/>
    </row>
    <row r="432" spans="11:13" ht="15">
      <c r="K432" s="57"/>
      <c r="L432" s="57"/>
      <c r="M432" s="57"/>
    </row>
    <row r="433" spans="11:13" ht="15">
      <c r="K433" s="57"/>
      <c r="L433" s="57"/>
      <c r="M433" s="57"/>
    </row>
  </sheetData>
  <sheetProtection/>
  <mergeCells count="160"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A164:A167"/>
    <mergeCell ref="B164:K164"/>
    <mergeCell ref="B166:K166"/>
    <mergeCell ref="B167:C167"/>
    <mergeCell ref="B165:C165"/>
    <mergeCell ref="B53:C53"/>
    <mergeCell ref="B54:C54"/>
    <mergeCell ref="E87:F87"/>
    <mergeCell ref="K87:L87"/>
    <mergeCell ref="E90:F90"/>
    <mergeCell ref="B45:C46"/>
    <mergeCell ref="D45:E46"/>
    <mergeCell ref="D47:E47"/>
    <mergeCell ref="D48:E48"/>
    <mergeCell ref="D49:E49"/>
    <mergeCell ref="D50:E50"/>
    <mergeCell ref="D51:E51"/>
    <mergeCell ref="B47:C47"/>
    <mergeCell ref="B48:C48"/>
    <mergeCell ref="B49:C49"/>
    <mergeCell ref="B50:C50"/>
    <mergeCell ref="B51:C51"/>
    <mergeCell ref="B52:C52"/>
    <mergeCell ref="K405:K406"/>
    <mergeCell ref="D363:O363"/>
    <mergeCell ref="D225:I225"/>
    <mergeCell ref="D252:N252"/>
    <mergeCell ref="D288:N288"/>
    <mergeCell ref="E84:F84"/>
    <mergeCell ref="B113:C113"/>
    <mergeCell ref="B114:C114"/>
    <mergeCell ref="K86:L86"/>
    <mergeCell ref="N166:V166"/>
    <mergeCell ref="N164:V164"/>
    <mergeCell ref="M164:M167"/>
    <mergeCell ref="D52:E52"/>
    <mergeCell ref="D53:E53"/>
    <mergeCell ref="D54:E54"/>
    <mergeCell ref="E88:F88"/>
    <mergeCell ref="K88:L88"/>
    <mergeCell ref="E89:F89"/>
    <mergeCell ref="K89:L89"/>
    <mergeCell ref="K90:L90"/>
    <mergeCell ref="E91:F91"/>
    <mergeCell ref="K91:L91"/>
    <mergeCell ref="E92:F92"/>
    <mergeCell ref="K92:L92"/>
    <mergeCell ref="E93:F93"/>
    <mergeCell ref="K93:L93"/>
    <mergeCell ref="K83:L83"/>
    <mergeCell ref="E83:F83"/>
    <mergeCell ref="B83:C83"/>
    <mergeCell ref="B84:C84"/>
    <mergeCell ref="B85:C85"/>
    <mergeCell ref="B86:C86"/>
    <mergeCell ref="K84:L84"/>
    <mergeCell ref="E85:F85"/>
    <mergeCell ref="K85:L85"/>
    <mergeCell ref="E86:F86"/>
    <mergeCell ref="B150:C150"/>
    <mergeCell ref="B151:C151"/>
    <mergeCell ref="B87:C87"/>
    <mergeCell ref="B88:C88"/>
    <mergeCell ref="B89:C89"/>
    <mergeCell ref="B90:C90"/>
    <mergeCell ref="B91:C91"/>
    <mergeCell ref="B92:C92"/>
    <mergeCell ref="B106:C106"/>
    <mergeCell ref="B107:C107"/>
    <mergeCell ref="B93:C93"/>
    <mergeCell ref="A111:A112"/>
    <mergeCell ref="B112:C112"/>
    <mergeCell ref="B149:C149"/>
    <mergeCell ref="B97:C97"/>
    <mergeCell ref="B98:C98"/>
    <mergeCell ref="B99:C99"/>
    <mergeCell ref="B100:C100"/>
    <mergeCell ref="B101:C101"/>
    <mergeCell ref="B148:C148"/>
    <mergeCell ref="B102:C102"/>
    <mergeCell ref="B103:C103"/>
    <mergeCell ref="B104:C104"/>
    <mergeCell ref="B105:C10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11:J111"/>
    <mergeCell ref="B65:C65"/>
    <mergeCell ref="B66:C66"/>
    <mergeCell ref="B67:C67"/>
    <mergeCell ref="B68:C68"/>
    <mergeCell ref="B69:C69"/>
    <mergeCell ref="B78:C78"/>
    <mergeCell ref="B79:C79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47:F147"/>
    <mergeCell ref="A147:A148"/>
    <mergeCell ref="B60:C60"/>
    <mergeCell ref="B61:C61"/>
    <mergeCell ref="B62:C62"/>
    <mergeCell ref="B63:C63"/>
    <mergeCell ref="B64:C64"/>
    <mergeCell ref="B80:C80"/>
    <mergeCell ref="B70:C70"/>
    <mergeCell ref="B71:C71"/>
    <mergeCell ref="B72:C72"/>
    <mergeCell ref="B73:C73"/>
    <mergeCell ref="B74:C74"/>
    <mergeCell ref="B75:C75"/>
    <mergeCell ref="A58:A59"/>
    <mergeCell ref="B58:C59"/>
    <mergeCell ref="D58:D59"/>
    <mergeCell ref="E58:E59"/>
    <mergeCell ref="B76:C76"/>
    <mergeCell ref="B77:C77"/>
  </mergeCells>
  <printOptions horizontalCentered="1"/>
  <pageMargins left="0.75" right="0.75" top="1" bottom="1" header="0.5" footer="0.5"/>
  <pageSetup fitToHeight="1" fitToWidth="1" horizontalDpi="300" verticalDpi="300" orientation="portrait" scale="14" r:id="rId14"/>
  <drawing r:id="rId13"/>
  <legacyDrawing r:id="rId12"/>
  <oleObjects>
    <oleObject progId="Equation.3" shapeId="443080" r:id="rId1"/>
    <oleObject progId="Equation.3" shapeId="443079" r:id="rId2"/>
    <oleObject progId="Equation.3" shapeId="443078" r:id="rId3"/>
    <oleObject progId="Equation.3" shapeId="443077" r:id="rId4"/>
    <oleObject progId="Equation.3" shapeId="443076" r:id="rId5"/>
    <oleObject progId="Equation.3" shapeId="443075" r:id="rId6"/>
    <oleObject progId="Equation.3" shapeId="443074" r:id="rId7"/>
    <oleObject progId="Equation.3" shapeId="443073" r:id="rId8"/>
    <oleObject progId="Equation.3" shapeId="443072" r:id="rId9"/>
    <oleObject progId="Equation.3" shapeId="443071" r:id="rId10"/>
    <oleObject progId="Equation.3" shapeId="443070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X33"/>
  <sheetViews>
    <sheetView zoomScale="70" zoomScaleNormal="70" zoomScalePageLayoutView="0" workbookViewId="0" topLeftCell="AO1">
      <selection activeCell="BA9" sqref="BA9"/>
    </sheetView>
  </sheetViews>
  <sheetFormatPr defaultColWidth="9.140625" defaultRowHeight="15"/>
  <cols>
    <col min="1" max="1" width="5.8515625" style="205" customWidth="1"/>
    <col min="2" max="2" width="11.00390625" style="205" customWidth="1"/>
    <col min="3" max="28" width="4.7109375" style="205" customWidth="1"/>
    <col min="29" max="29" width="10.28125" style="205" customWidth="1"/>
    <col min="30" max="31" width="8.7109375" style="205" customWidth="1"/>
    <col min="32" max="35" width="9.00390625" style="205" customWidth="1"/>
    <col min="36" max="36" width="11.00390625" style="205" customWidth="1"/>
    <col min="37" max="50" width="9.140625" style="205" customWidth="1"/>
    <col min="51" max="51" width="9.7109375" style="258" bestFit="1" customWidth="1"/>
    <col min="52" max="52" width="8.00390625" style="258" bestFit="1" customWidth="1"/>
    <col min="53" max="53" width="8.8515625" style="258" bestFit="1" customWidth="1"/>
    <col min="54" max="58" width="6.421875" style="258" bestFit="1" customWidth="1"/>
    <col min="59" max="59" width="8.7109375" style="258" bestFit="1" customWidth="1"/>
    <col min="60" max="60" width="11.421875" style="258" bestFit="1" customWidth="1"/>
    <col min="61" max="61" width="8.421875" style="258" bestFit="1" customWidth="1"/>
    <col min="62" max="62" width="10.7109375" style="258" bestFit="1" customWidth="1"/>
    <col min="63" max="63" width="11.00390625" style="258" bestFit="1" customWidth="1"/>
    <col min="64" max="64" width="11.421875" style="209" bestFit="1" customWidth="1"/>
    <col min="65" max="65" width="11.421875" style="205" bestFit="1" customWidth="1"/>
    <col min="66" max="16384" width="9.140625" style="205" customWidth="1"/>
  </cols>
  <sheetData>
    <row r="1" spans="1:35" ht="15" customHeight="1">
      <c r="A1" s="325" t="s">
        <v>0</v>
      </c>
      <c r="B1" s="309" t="s">
        <v>1</v>
      </c>
      <c r="C1" s="327" t="s">
        <v>2</v>
      </c>
      <c r="D1" s="327"/>
      <c r="E1" s="327" t="s">
        <v>3</v>
      </c>
      <c r="F1" s="327"/>
      <c r="G1" s="327" t="s">
        <v>4</v>
      </c>
      <c r="H1" s="327"/>
      <c r="I1" s="327" t="s">
        <v>5</v>
      </c>
      <c r="J1" s="327"/>
      <c r="K1" s="327" t="s">
        <v>6</v>
      </c>
      <c r="L1" s="327"/>
      <c r="M1" s="327" t="s">
        <v>7</v>
      </c>
      <c r="N1" s="327"/>
      <c r="O1" s="327" t="s">
        <v>8</v>
      </c>
      <c r="P1" s="327"/>
      <c r="Q1" s="327" t="s">
        <v>9</v>
      </c>
      <c r="R1" s="327"/>
      <c r="S1" s="327" t="s">
        <v>10</v>
      </c>
      <c r="T1" s="327"/>
      <c r="U1" s="327" t="s">
        <v>11</v>
      </c>
      <c r="V1" s="327"/>
      <c r="W1" s="327" t="s">
        <v>12</v>
      </c>
      <c r="X1" s="327"/>
      <c r="Y1" s="327" t="s">
        <v>13</v>
      </c>
      <c r="Z1" s="328"/>
      <c r="AA1" s="226"/>
      <c r="AB1" s="325" t="s">
        <v>0</v>
      </c>
      <c r="AC1" s="309" t="s">
        <v>1</v>
      </c>
      <c r="AD1" s="311" t="s">
        <v>310</v>
      </c>
      <c r="AE1" s="306" t="s">
        <v>309</v>
      </c>
      <c r="AF1" s="302" t="s">
        <v>17</v>
      </c>
      <c r="AG1" s="304" t="s">
        <v>18</v>
      </c>
      <c r="AH1" s="234"/>
      <c r="AI1" s="11"/>
    </row>
    <row r="2" spans="1:76" ht="15.75" thickBot="1">
      <c r="A2" s="326"/>
      <c r="B2" s="310"/>
      <c r="C2" s="321" t="s">
        <v>14</v>
      </c>
      <c r="D2" s="321"/>
      <c r="E2" s="321" t="s">
        <v>14</v>
      </c>
      <c r="F2" s="321"/>
      <c r="G2" s="321" t="s">
        <v>14</v>
      </c>
      <c r="H2" s="321"/>
      <c r="I2" s="321" t="s">
        <v>14</v>
      </c>
      <c r="J2" s="321"/>
      <c r="K2" s="321" t="s">
        <v>14</v>
      </c>
      <c r="L2" s="321"/>
      <c r="M2" s="321" t="s">
        <v>14</v>
      </c>
      <c r="N2" s="321"/>
      <c r="O2" s="321" t="s">
        <v>14</v>
      </c>
      <c r="P2" s="321"/>
      <c r="Q2" s="321" t="s">
        <v>14</v>
      </c>
      <c r="R2" s="321"/>
      <c r="S2" s="321" t="s">
        <v>14</v>
      </c>
      <c r="T2" s="321"/>
      <c r="U2" s="321" t="s">
        <v>14</v>
      </c>
      <c r="V2" s="321"/>
      <c r="W2" s="321" t="s">
        <v>14</v>
      </c>
      <c r="X2" s="321"/>
      <c r="Y2" s="321" t="s">
        <v>14</v>
      </c>
      <c r="Z2" s="322"/>
      <c r="AA2" s="226"/>
      <c r="AB2" s="326"/>
      <c r="AC2" s="310"/>
      <c r="AD2" s="312"/>
      <c r="AE2" s="307"/>
      <c r="AF2" s="303"/>
      <c r="AG2" s="305"/>
      <c r="AH2" s="234"/>
      <c r="AI2" s="11"/>
      <c r="AX2" s="262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266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</row>
    <row r="3" spans="1:76" ht="15.75" thickTop="1">
      <c r="A3" s="217">
        <v>1</v>
      </c>
      <c r="B3" s="218">
        <v>2010</v>
      </c>
      <c r="C3" s="323">
        <v>355</v>
      </c>
      <c r="D3" s="323"/>
      <c r="E3" s="323">
        <v>307</v>
      </c>
      <c r="F3" s="323"/>
      <c r="G3" s="323">
        <v>134</v>
      </c>
      <c r="H3" s="323"/>
      <c r="I3" s="323">
        <v>185</v>
      </c>
      <c r="J3" s="323"/>
      <c r="K3" s="323">
        <v>385</v>
      </c>
      <c r="L3" s="323"/>
      <c r="M3" s="323">
        <v>284</v>
      </c>
      <c r="N3" s="323"/>
      <c r="O3" s="323">
        <v>245</v>
      </c>
      <c r="P3" s="323"/>
      <c r="Q3" s="323">
        <v>244</v>
      </c>
      <c r="R3" s="323"/>
      <c r="S3" s="323">
        <v>236</v>
      </c>
      <c r="T3" s="323"/>
      <c r="U3" s="323">
        <v>123</v>
      </c>
      <c r="V3" s="323"/>
      <c r="W3" s="323">
        <v>99</v>
      </c>
      <c r="X3" s="323"/>
      <c r="Y3" s="323">
        <v>628</v>
      </c>
      <c r="Z3" s="324"/>
      <c r="AA3" s="206"/>
      <c r="AB3" s="217">
        <v>1</v>
      </c>
      <c r="AC3" s="218">
        <v>2010</v>
      </c>
      <c r="AD3" s="228">
        <f>C3+E3+G3+I3+K3+M3+O3+Q3+S3+U3+W3+Y3</f>
        <v>3225</v>
      </c>
      <c r="AE3" s="221">
        <f>MAX(C3:Z3)</f>
        <v>628</v>
      </c>
      <c r="AF3" s="219">
        <f>COUNTIF(C3:Z3,"&gt;100")</f>
        <v>11</v>
      </c>
      <c r="AG3" s="220">
        <f>COUNTIF(C3:Z3,"&lt;100")</f>
        <v>1</v>
      </c>
      <c r="AH3" s="206"/>
      <c r="AJ3" s="162"/>
      <c r="AX3" s="262"/>
      <c r="AY3" s="117" t="s">
        <v>402</v>
      </c>
      <c r="AZ3" s="117" t="s">
        <v>403</v>
      </c>
      <c r="BA3" s="117" t="s">
        <v>404</v>
      </c>
      <c r="BB3" s="267" t="s">
        <v>405</v>
      </c>
      <c r="BC3" s="267" t="s">
        <v>406</v>
      </c>
      <c r="BD3" s="267" t="s">
        <v>407</v>
      </c>
      <c r="BE3" s="267" t="s">
        <v>408</v>
      </c>
      <c r="BF3" s="267" t="s">
        <v>409</v>
      </c>
      <c r="BG3" s="267" t="s">
        <v>410</v>
      </c>
      <c r="BH3" s="267" t="s">
        <v>411</v>
      </c>
      <c r="BI3" s="267" t="s">
        <v>412</v>
      </c>
      <c r="BJ3" s="267" t="s">
        <v>413</v>
      </c>
      <c r="BK3" s="267" t="s">
        <v>414</v>
      </c>
      <c r="BM3" s="25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58"/>
    </row>
    <row r="4" spans="1:76" ht="15">
      <c r="A4" s="215">
        <v>2</v>
      </c>
      <c r="B4" s="216">
        <v>2011</v>
      </c>
      <c r="C4" s="319">
        <v>211</v>
      </c>
      <c r="D4" s="319"/>
      <c r="E4" s="319">
        <v>208</v>
      </c>
      <c r="F4" s="319"/>
      <c r="G4" s="319">
        <v>441</v>
      </c>
      <c r="H4" s="319"/>
      <c r="I4" s="319">
        <v>141</v>
      </c>
      <c r="J4" s="319"/>
      <c r="K4" s="319">
        <v>140</v>
      </c>
      <c r="L4" s="319"/>
      <c r="M4" s="319">
        <v>243</v>
      </c>
      <c r="N4" s="319"/>
      <c r="O4" s="319">
        <v>73</v>
      </c>
      <c r="P4" s="319"/>
      <c r="Q4" s="319">
        <v>13</v>
      </c>
      <c r="R4" s="319"/>
      <c r="S4" s="319">
        <v>27</v>
      </c>
      <c r="T4" s="319"/>
      <c r="U4" s="319">
        <v>76</v>
      </c>
      <c r="V4" s="319"/>
      <c r="W4" s="319">
        <v>174</v>
      </c>
      <c r="X4" s="319"/>
      <c r="Y4" s="319">
        <v>382</v>
      </c>
      <c r="Z4" s="320"/>
      <c r="AA4" s="206"/>
      <c r="AB4" s="215">
        <v>2</v>
      </c>
      <c r="AC4" s="216">
        <v>2011</v>
      </c>
      <c r="AD4" s="228">
        <f aca="true" t="shared" si="0" ref="AD4:AD11">C4+E4+G4+I4+K4+M4+O4+Q4+S4+U4+W4+Y4</f>
        <v>2129</v>
      </c>
      <c r="AE4" s="221">
        <f>MAX(C4:Z4)</f>
        <v>441</v>
      </c>
      <c r="AF4" s="219">
        <f aca="true" t="shared" si="1" ref="AF4:AF12">COUNTIF(C4:Z4,"&gt;100")</f>
        <v>8</v>
      </c>
      <c r="AG4" s="220">
        <f aca="true" t="shared" si="2" ref="AG4:AG12">COUNTIF(C4:Z4,"&lt;100")</f>
        <v>4</v>
      </c>
      <c r="AH4" s="206"/>
      <c r="AJ4" s="162"/>
      <c r="AX4" s="262"/>
      <c r="AY4" s="263">
        <v>2010</v>
      </c>
      <c r="AZ4" s="264">
        <v>355</v>
      </c>
      <c r="BA4" s="264">
        <v>307</v>
      </c>
      <c r="BB4" s="264">
        <v>134</v>
      </c>
      <c r="BC4" s="264">
        <v>185</v>
      </c>
      <c r="BD4" s="264">
        <v>385</v>
      </c>
      <c r="BE4" s="264">
        <v>284</v>
      </c>
      <c r="BF4" s="264">
        <v>245</v>
      </c>
      <c r="BG4" s="264">
        <v>244</v>
      </c>
      <c r="BH4" s="264">
        <v>236</v>
      </c>
      <c r="BI4" s="264">
        <v>123</v>
      </c>
      <c r="BJ4" s="264">
        <v>99</v>
      </c>
      <c r="BK4" s="264">
        <v>628</v>
      </c>
      <c r="BM4" s="258"/>
      <c r="BN4" s="264"/>
      <c r="BO4" s="268"/>
      <c r="BP4" s="264"/>
      <c r="BQ4" s="268"/>
      <c r="BR4" s="264"/>
      <c r="BS4" s="268"/>
      <c r="BT4" s="264"/>
      <c r="BU4" s="268"/>
      <c r="BV4" s="264"/>
      <c r="BW4" s="268"/>
      <c r="BX4" s="258"/>
    </row>
    <row r="5" spans="1:76" ht="15.75">
      <c r="A5" s="215">
        <v>3</v>
      </c>
      <c r="B5" s="216">
        <v>2012</v>
      </c>
      <c r="C5" s="319">
        <v>233</v>
      </c>
      <c r="D5" s="319"/>
      <c r="E5" s="319">
        <v>239</v>
      </c>
      <c r="F5" s="319"/>
      <c r="G5" s="319">
        <v>337</v>
      </c>
      <c r="H5" s="319"/>
      <c r="I5" s="319">
        <v>127</v>
      </c>
      <c r="J5" s="319"/>
      <c r="K5" s="319">
        <v>326</v>
      </c>
      <c r="L5" s="319"/>
      <c r="M5" s="319">
        <v>215</v>
      </c>
      <c r="N5" s="319"/>
      <c r="O5" s="319">
        <v>39</v>
      </c>
      <c r="P5" s="319"/>
      <c r="Q5" s="319">
        <v>1</v>
      </c>
      <c r="R5" s="319"/>
      <c r="S5" s="319">
        <v>2</v>
      </c>
      <c r="T5" s="319"/>
      <c r="U5" s="319">
        <v>76</v>
      </c>
      <c r="V5" s="319"/>
      <c r="W5" s="319">
        <v>40</v>
      </c>
      <c r="X5" s="319"/>
      <c r="Y5" s="319">
        <v>209</v>
      </c>
      <c r="Z5" s="320"/>
      <c r="AA5" s="206"/>
      <c r="AB5" s="215">
        <v>3</v>
      </c>
      <c r="AC5" s="216">
        <v>2012</v>
      </c>
      <c r="AD5" s="228">
        <f t="shared" si="0"/>
        <v>1844</v>
      </c>
      <c r="AE5" s="221">
        <f aca="true" t="shared" si="3" ref="AE5:AE11">MAX(C5:Z5)</f>
        <v>337</v>
      </c>
      <c r="AF5" s="219">
        <f t="shared" si="1"/>
        <v>7</v>
      </c>
      <c r="AG5" s="220">
        <f t="shared" si="2"/>
        <v>5</v>
      </c>
      <c r="AH5" s="206"/>
      <c r="AI5" s="4"/>
      <c r="AJ5" s="162"/>
      <c r="AX5" s="262"/>
      <c r="AY5" s="263">
        <v>2011</v>
      </c>
      <c r="AZ5" s="264">
        <v>211</v>
      </c>
      <c r="BA5" s="264">
        <v>208</v>
      </c>
      <c r="BB5" s="264">
        <v>441</v>
      </c>
      <c r="BC5" s="264">
        <v>141</v>
      </c>
      <c r="BD5" s="264">
        <v>140</v>
      </c>
      <c r="BE5" s="264">
        <v>243</v>
      </c>
      <c r="BF5" s="264">
        <v>73</v>
      </c>
      <c r="BG5" s="206">
        <v>13</v>
      </c>
      <c r="BH5" s="206">
        <v>27</v>
      </c>
      <c r="BI5" s="264">
        <v>76</v>
      </c>
      <c r="BJ5" s="264">
        <v>174</v>
      </c>
      <c r="BK5" s="264">
        <v>382</v>
      </c>
      <c r="BM5" s="272"/>
      <c r="BN5" s="264"/>
      <c r="BO5" s="268"/>
      <c r="BP5" s="264"/>
      <c r="BQ5" s="268"/>
      <c r="BR5" s="264"/>
      <c r="BS5" s="268"/>
      <c r="BT5" s="264"/>
      <c r="BU5" s="268"/>
      <c r="BV5" s="264"/>
      <c r="BW5" s="268"/>
      <c r="BX5" s="258"/>
    </row>
    <row r="6" spans="1:76" ht="15">
      <c r="A6" s="215">
        <v>4</v>
      </c>
      <c r="B6" s="216">
        <v>2013</v>
      </c>
      <c r="C6" s="319">
        <v>176</v>
      </c>
      <c r="D6" s="319"/>
      <c r="E6" s="319">
        <v>162</v>
      </c>
      <c r="F6" s="319"/>
      <c r="G6" s="319">
        <v>109</v>
      </c>
      <c r="H6" s="319"/>
      <c r="I6" s="319">
        <v>156</v>
      </c>
      <c r="J6" s="319"/>
      <c r="K6" s="319">
        <v>321</v>
      </c>
      <c r="L6" s="319"/>
      <c r="M6" s="319">
        <v>157</v>
      </c>
      <c r="N6" s="319"/>
      <c r="O6" s="319">
        <v>246</v>
      </c>
      <c r="P6" s="319"/>
      <c r="Q6" s="319">
        <v>3</v>
      </c>
      <c r="R6" s="319"/>
      <c r="S6" s="319">
        <v>0</v>
      </c>
      <c r="T6" s="319"/>
      <c r="U6" s="319">
        <v>20</v>
      </c>
      <c r="V6" s="319"/>
      <c r="W6" s="319">
        <v>241</v>
      </c>
      <c r="X6" s="319"/>
      <c r="Y6" s="319">
        <v>287</v>
      </c>
      <c r="Z6" s="320"/>
      <c r="AA6" s="206"/>
      <c r="AB6" s="215">
        <v>4</v>
      </c>
      <c r="AC6" s="216">
        <v>2013</v>
      </c>
      <c r="AD6" s="228">
        <f t="shared" si="0"/>
        <v>1878</v>
      </c>
      <c r="AE6" s="221">
        <f t="shared" si="3"/>
        <v>321</v>
      </c>
      <c r="AF6" s="219">
        <f t="shared" si="1"/>
        <v>9</v>
      </c>
      <c r="AG6" s="220">
        <f t="shared" si="2"/>
        <v>3</v>
      </c>
      <c r="AH6" s="206"/>
      <c r="AJ6" s="162"/>
      <c r="AX6" s="262"/>
      <c r="AY6" s="263">
        <v>2012</v>
      </c>
      <c r="AZ6" s="264">
        <v>233</v>
      </c>
      <c r="BA6" s="264">
        <v>239</v>
      </c>
      <c r="BB6" s="264">
        <v>337</v>
      </c>
      <c r="BC6" s="264">
        <v>127</v>
      </c>
      <c r="BD6" s="264">
        <v>326</v>
      </c>
      <c r="BE6" s="264">
        <v>215</v>
      </c>
      <c r="BF6" s="264">
        <v>39</v>
      </c>
      <c r="BG6" s="206">
        <v>1</v>
      </c>
      <c r="BH6" s="206">
        <v>2</v>
      </c>
      <c r="BI6" s="264">
        <v>76</v>
      </c>
      <c r="BJ6" s="264">
        <v>40</v>
      </c>
      <c r="BK6" s="264">
        <v>209</v>
      </c>
      <c r="BM6" s="258"/>
      <c r="BN6" s="264"/>
      <c r="BO6" s="268"/>
      <c r="BP6" s="264"/>
      <c r="BQ6" s="268"/>
      <c r="BR6" s="264"/>
      <c r="BS6" s="268"/>
      <c r="BT6" s="264"/>
      <c r="BU6" s="268"/>
      <c r="BV6" s="264"/>
      <c r="BW6" s="268"/>
      <c r="BX6" s="258"/>
    </row>
    <row r="7" spans="1:76" ht="15">
      <c r="A7" s="215">
        <v>5</v>
      </c>
      <c r="B7" s="216">
        <v>2014</v>
      </c>
      <c r="C7" s="319">
        <v>171</v>
      </c>
      <c r="D7" s="319"/>
      <c r="E7" s="319">
        <v>104</v>
      </c>
      <c r="F7" s="319"/>
      <c r="G7" s="319">
        <v>116</v>
      </c>
      <c r="H7" s="319"/>
      <c r="I7" s="319">
        <v>302</v>
      </c>
      <c r="J7" s="319"/>
      <c r="K7" s="319">
        <v>284</v>
      </c>
      <c r="L7" s="319"/>
      <c r="M7" s="319">
        <v>247</v>
      </c>
      <c r="N7" s="319"/>
      <c r="O7" s="319">
        <v>22</v>
      </c>
      <c r="P7" s="319"/>
      <c r="Q7" s="319">
        <v>29</v>
      </c>
      <c r="R7" s="319"/>
      <c r="S7" s="319">
        <v>0</v>
      </c>
      <c r="T7" s="319"/>
      <c r="U7" s="319">
        <v>49</v>
      </c>
      <c r="V7" s="319"/>
      <c r="W7" s="319">
        <v>49</v>
      </c>
      <c r="X7" s="319"/>
      <c r="Y7" s="319">
        <v>293</v>
      </c>
      <c r="Z7" s="320"/>
      <c r="AA7" s="206"/>
      <c r="AB7" s="215">
        <v>5</v>
      </c>
      <c r="AC7" s="216">
        <v>2014</v>
      </c>
      <c r="AD7" s="228">
        <f t="shared" si="0"/>
        <v>1666</v>
      </c>
      <c r="AE7" s="221">
        <f t="shared" si="3"/>
        <v>302</v>
      </c>
      <c r="AF7" s="219">
        <f t="shared" si="1"/>
        <v>7</v>
      </c>
      <c r="AG7" s="220">
        <f t="shared" si="2"/>
        <v>5</v>
      </c>
      <c r="AH7" s="206"/>
      <c r="AJ7" s="162"/>
      <c r="AX7" s="262"/>
      <c r="AY7" s="263">
        <v>2013</v>
      </c>
      <c r="AZ7" s="264">
        <v>176</v>
      </c>
      <c r="BA7" s="264">
        <v>162</v>
      </c>
      <c r="BB7" s="264">
        <v>109</v>
      </c>
      <c r="BC7" s="264">
        <v>156</v>
      </c>
      <c r="BD7" s="264">
        <v>321</v>
      </c>
      <c r="BE7" s="264">
        <v>157</v>
      </c>
      <c r="BF7" s="264">
        <v>246</v>
      </c>
      <c r="BG7" s="206">
        <v>3</v>
      </c>
      <c r="BH7" s="264">
        <v>0</v>
      </c>
      <c r="BI7" s="264">
        <v>20</v>
      </c>
      <c r="BJ7" s="264">
        <v>241</v>
      </c>
      <c r="BK7" s="264">
        <v>287</v>
      </c>
      <c r="BM7" s="258"/>
      <c r="BN7" s="264"/>
      <c r="BO7" s="268"/>
      <c r="BP7" s="264"/>
      <c r="BQ7" s="268"/>
      <c r="BR7" s="264"/>
      <c r="BS7" s="268"/>
      <c r="BT7" s="264"/>
      <c r="BU7" s="268"/>
      <c r="BV7" s="264"/>
      <c r="BW7" s="268"/>
      <c r="BX7" s="258"/>
    </row>
    <row r="8" spans="1:76" ht="15">
      <c r="A8" s="215">
        <v>6</v>
      </c>
      <c r="B8" s="216">
        <v>2015</v>
      </c>
      <c r="C8" s="319">
        <v>195</v>
      </c>
      <c r="D8" s="319"/>
      <c r="E8" s="319">
        <v>350</v>
      </c>
      <c r="F8" s="319"/>
      <c r="G8" s="319">
        <v>181</v>
      </c>
      <c r="H8" s="319"/>
      <c r="I8" s="319">
        <v>336</v>
      </c>
      <c r="J8" s="319"/>
      <c r="K8" s="319">
        <v>152</v>
      </c>
      <c r="L8" s="319"/>
      <c r="M8" s="319">
        <v>47</v>
      </c>
      <c r="N8" s="319"/>
      <c r="O8" s="319">
        <v>5</v>
      </c>
      <c r="P8" s="319"/>
      <c r="Q8" s="319">
        <v>0</v>
      </c>
      <c r="R8" s="319"/>
      <c r="S8" s="319">
        <v>0</v>
      </c>
      <c r="T8" s="319"/>
      <c r="U8" s="319">
        <v>0</v>
      </c>
      <c r="V8" s="319"/>
      <c r="W8" s="319">
        <v>27</v>
      </c>
      <c r="X8" s="319"/>
      <c r="Y8" s="319">
        <v>179</v>
      </c>
      <c r="Z8" s="320"/>
      <c r="AA8" s="206"/>
      <c r="AB8" s="215">
        <v>6</v>
      </c>
      <c r="AC8" s="216">
        <v>2015</v>
      </c>
      <c r="AD8" s="228">
        <f t="shared" si="0"/>
        <v>1472</v>
      </c>
      <c r="AE8" s="221">
        <f t="shared" si="3"/>
        <v>350</v>
      </c>
      <c r="AF8" s="219">
        <f t="shared" si="1"/>
        <v>6</v>
      </c>
      <c r="AG8" s="220">
        <f t="shared" si="2"/>
        <v>6</v>
      </c>
      <c r="AH8" s="206"/>
      <c r="AJ8" s="162"/>
      <c r="AX8" s="262"/>
      <c r="AY8" s="263">
        <v>2014</v>
      </c>
      <c r="AZ8" s="264">
        <v>171</v>
      </c>
      <c r="BA8" s="264">
        <v>104</v>
      </c>
      <c r="BB8" s="264">
        <v>116</v>
      </c>
      <c r="BC8" s="264">
        <v>302</v>
      </c>
      <c r="BD8" s="264">
        <v>284</v>
      </c>
      <c r="BE8" s="264">
        <v>247</v>
      </c>
      <c r="BF8" s="264">
        <v>22</v>
      </c>
      <c r="BG8" s="264">
        <v>29</v>
      </c>
      <c r="BH8" s="264">
        <v>0</v>
      </c>
      <c r="BI8" s="264">
        <v>49</v>
      </c>
      <c r="BJ8" s="264">
        <v>49</v>
      </c>
      <c r="BK8" s="264">
        <v>293</v>
      </c>
      <c r="BM8" s="258"/>
      <c r="BN8" s="193"/>
      <c r="BO8" s="193"/>
      <c r="BP8" s="264"/>
      <c r="BQ8" s="268"/>
      <c r="BR8" s="264"/>
      <c r="BS8" s="268"/>
      <c r="BT8" s="264"/>
      <c r="BU8" s="268"/>
      <c r="BV8" s="264"/>
      <c r="BW8" s="268"/>
      <c r="BX8" s="258"/>
    </row>
    <row r="9" spans="1:76" ht="15">
      <c r="A9" s="215">
        <v>7</v>
      </c>
      <c r="B9" s="216">
        <v>2016</v>
      </c>
      <c r="C9" s="319">
        <v>65</v>
      </c>
      <c r="D9" s="319"/>
      <c r="E9" s="319">
        <v>433</v>
      </c>
      <c r="F9" s="319"/>
      <c r="G9" s="319">
        <v>204</v>
      </c>
      <c r="H9" s="319"/>
      <c r="I9" s="319">
        <v>260</v>
      </c>
      <c r="J9" s="319"/>
      <c r="K9" s="319">
        <v>150</v>
      </c>
      <c r="L9" s="319"/>
      <c r="M9" s="319">
        <v>120</v>
      </c>
      <c r="N9" s="319"/>
      <c r="O9" s="319">
        <v>250</v>
      </c>
      <c r="P9" s="319"/>
      <c r="Q9" s="319">
        <v>17</v>
      </c>
      <c r="R9" s="319"/>
      <c r="S9" s="319">
        <v>54</v>
      </c>
      <c r="T9" s="319"/>
      <c r="U9" s="319">
        <v>185</v>
      </c>
      <c r="V9" s="319"/>
      <c r="W9" s="319">
        <v>46</v>
      </c>
      <c r="X9" s="319"/>
      <c r="Y9" s="319">
        <v>280</v>
      </c>
      <c r="Z9" s="320"/>
      <c r="AA9" s="206"/>
      <c r="AB9" s="215">
        <v>7</v>
      </c>
      <c r="AC9" s="216">
        <v>2016</v>
      </c>
      <c r="AD9" s="228">
        <f t="shared" si="0"/>
        <v>2064</v>
      </c>
      <c r="AE9" s="221">
        <f t="shared" si="3"/>
        <v>433</v>
      </c>
      <c r="AF9" s="219">
        <f t="shared" si="1"/>
        <v>8</v>
      </c>
      <c r="AG9" s="220">
        <f t="shared" si="2"/>
        <v>4</v>
      </c>
      <c r="AH9" s="206"/>
      <c r="AJ9" s="162"/>
      <c r="AX9" s="262"/>
      <c r="AY9" s="263">
        <v>2015</v>
      </c>
      <c r="AZ9" s="264">
        <v>195</v>
      </c>
      <c r="BA9" s="264">
        <v>350</v>
      </c>
      <c r="BB9" s="264">
        <v>181</v>
      </c>
      <c r="BC9" s="264">
        <v>336</v>
      </c>
      <c r="BD9" s="264">
        <v>152</v>
      </c>
      <c r="BE9" s="264">
        <v>47</v>
      </c>
      <c r="BF9" s="206">
        <v>5</v>
      </c>
      <c r="BG9" s="206">
        <v>0</v>
      </c>
      <c r="BH9" s="264">
        <v>0</v>
      </c>
      <c r="BI9" s="264">
        <v>0</v>
      </c>
      <c r="BJ9" s="264">
        <v>27</v>
      </c>
      <c r="BK9" s="264">
        <v>179</v>
      </c>
      <c r="BM9" s="258"/>
      <c r="BN9" s="264"/>
      <c r="BO9" s="268"/>
      <c r="BP9" s="264"/>
      <c r="BQ9" s="268"/>
      <c r="BR9" s="264"/>
      <c r="BS9" s="230"/>
      <c r="BT9" s="264"/>
      <c r="BU9" s="268"/>
      <c r="BV9" s="264"/>
      <c r="BW9" s="268"/>
      <c r="BX9" s="258"/>
    </row>
    <row r="10" spans="1:76" ht="15">
      <c r="A10" s="215">
        <v>8</v>
      </c>
      <c r="B10" s="216">
        <v>2017</v>
      </c>
      <c r="C10" s="319">
        <v>465</v>
      </c>
      <c r="D10" s="319"/>
      <c r="E10" s="319">
        <v>161</v>
      </c>
      <c r="F10" s="319"/>
      <c r="G10" s="319">
        <v>386</v>
      </c>
      <c r="H10" s="319"/>
      <c r="I10" s="319">
        <v>231</v>
      </c>
      <c r="J10" s="319"/>
      <c r="K10" s="319">
        <v>225</v>
      </c>
      <c r="L10" s="319"/>
      <c r="M10" s="319">
        <v>481</v>
      </c>
      <c r="N10" s="319"/>
      <c r="O10" s="319">
        <v>133</v>
      </c>
      <c r="P10" s="319"/>
      <c r="Q10" s="319">
        <v>22</v>
      </c>
      <c r="R10" s="319"/>
      <c r="S10" s="319">
        <v>96</v>
      </c>
      <c r="T10" s="319"/>
      <c r="U10" s="319">
        <v>50</v>
      </c>
      <c r="V10" s="319"/>
      <c r="W10" s="319">
        <v>219</v>
      </c>
      <c r="X10" s="319"/>
      <c r="Y10" s="319">
        <v>454</v>
      </c>
      <c r="Z10" s="320"/>
      <c r="AA10" s="206"/>
      <c r="AB10" s="215">
        <v>8</v>
      </c>
      <c r="AC10" s="216">
        <v>2017</v>
      </c>
      <c r="AD10" s="228">
        <f t="shared" si="0"/>
        <v>2923</v>
      </c>
      <c r="AE10" s="221">
        <f t="shared" si="3"/>
        <v>481</v>
      </c>
      <c r="AF10" s="219">
        <f t="shared" si="1"/>
        <v>9</v>
      </c>
      <c r="AG10" s="220">
        <f t="shared" si="2"/>
        <v>3</v>
      </c>
      <c r="AH10" s="206"/>
      <c r="AJ10" s="162"/>
      <c r="AX10" s="262"/>
      <c r="AY10" s="263">
        <v>2016</v>
      </c>
      <c r="AZ10" s="264">
        <v>65</v>
      </c>
      <c r="BA10" s="264">
        <v>433</v>
      </c>
      <c r="BB10" s="264">
        <v>204</v>
      </c>
      <c r="BC10" s="264">
        <v>260</v>
      </c>
      <c r="BD10" s="264">
        <v>150</v>
      </c>
      <c r="BE10" s="264">
        <v>120</v>
      </c>
      <c r="BF10" s="264">
        <v>250</v>
      </c>
      <c r="BG10" s="264">
        <v>17</v>
      </c>
      <c r="BH10" s="264">
        <v>54</v>
      </c>
      <c r="BI10" s="264">
        <v>185</v>
      </c>
      <c r="BJ10" s="264">
        <v>46</v>
      </c>
      <c r="BK10" s="264">
        <v>280</v>
      </c>
      <c r="BM10" s="258"/>
      <c r="BN10" s="264"/>
      <c r="BO10" s="268"/>
      <c r="BP10" s="206"/>
      <c r="BQ10" s="230"/>
      <c r="BR10" s="264"/>
      <c r="BS10" s="230"/>
      <c r="BT10" s="264"/>
      <c r="BU10" s="268"/>
      <c r="BV10" s="264"/>
      <c r="BW10" s="230"/>
      <c r="BX10" s="258"/>
    </row>
    <row r="11" spans="1:76" ht="15">
      <c r="A11" s="215">
        <v>9</v>
      </c>
      <c r="B11" s="216">
        <v>2018</v>
      </c>
      <c r="C11" s="319">
        <v>336</v>
      </c>
      <c r="D11" s="319"/>
      <c r="E11" s="319">
        <v>240</v>
      </c>
      <c r="F11" s="319"/>
      <c r="G11" s="319">
        <v>232</v>
      </c>
      <c r="H11" s="319"/>
      <c r="I11" s="319">
        <v>136</v>
      </c>
      <c r="J11" s="319"/>
      <c r="K11" s="319">
        <v>144</v>
      </c>
      <c r="L11" s="319"/>
      <c r="M11" s="319">
        <v>210</v>
      </c>
      <c r="N11" s="319"/>
      <c r="O11" s="319">
        <v>202</v>
      </c>
      <c r="P11" s="319"/>
      <c r="Q11" s="319">
        <v>0</v>
      </c>
      <c r="R11" s="319"/>
      <c r="S11" s="319">
        <v>0</v>
      </c>
      <c r="T11" s="319"/>
      <c r="U11" s="319">
        <v>0</v>
      </c>
      <c r="V11" s="319"/>
      <c r="W11" s="319">
        <v>79</v>
      </c>
      <c r="X11" s="319"/>
      <c r="Y11" s="319">
        <v>332</v>
      </c>
      <c r="Z11" s="320"/>
      <c r="AA11" s="206"/>
      <c r="AB11" s="215">
        <v>9</v>
      </c>
      <c r="AC11" s="216">
        <v>2018</v>
      </c>
      <c r="AD11" s="228">
        <f t="shared" si="0"/>
        <v>1911</v>
      </c>
      <c r="AE11" s="235">
        <f t="shared" si="3"/>
        <v>336</v>
      </c>
      <c r="AF11" s="219">
        <f t="shared" si="1"/>
        <v>8</v>
      </c>
      <c r="AG11" s="220">
        <f t="shared" si="2"/>
        <v>4</v>
      </c>
      <c r="AH11" s="206"/>
      <c r="AJ11" s="162"/>
      <c r="AX11" s="262"/>
      <c r="AY11" s="263">
        <v>2017</v>
      </c>
      <c r="AZ11" s="264">
        <v>465</v>
      </c>
      <c r="BA11" s="264">
        <v>161</v>
      </c>
      <c r="BB11" s="264">
        <v>386</v>
      </c>
      <c r="BC11" s="264">
        <v>231</v>
      </c>
      <c r="BD11" s="264">
        <v>225</v>
      </c>
      <c r="BE11" s="264">
        <v>481</v>
      </c>
      <c r="BF11" s="264">
        <v>133</v>
      </c>
      <c r="BG11" s="264">
        <v>22</v>
      </c>
      <c r="BH11" s="264">
        <v>96</v>
      </c>
      <c r="BI11" s="264">
        <v>50</v>
      </c>
      <c r="BJ11" s="264">
        <v>219</v>
      </c>
      <c r="BK11" s="264">
        <v>454</v>
      </c>
      <c r="BM11" s="258"/>
      <c r="BN11" s="264"/>
      <c r="BO11" s="268"/>
      <c r="BP11" s="206"/>
      <c r="BQ11" s="230"/>
      <c r="BR11" s="264"/>
      <c r="BS11" s="230"/>
      <c r="BT11" s="264"/>
      <c r="BU11" s="268"/>
      <c r="BV11" s="264"/>
      <c r="BW11" s="268"/>
      <c r="BX11" s="258"/>
    </row>
    <row r="12" spans="1:76" ht="15.75" thickBot="1">
      <c r="A12" s="222">
        <v>10</v>
      </c>
      <c r="B12" s="223">
        <v>2019</v>
      </c>
      <c r="C12" s="316">
        <v>189</v>
      </c>
      <c r="D12" s="316"/>
      <c r="E12" s="316">
        <v>144</v>
      </c>
      <c r="F12" s="316"/>
      <c r="G12" s="316">
        <v>348</v>
      </c>
      <c r="H12" s="316"/>
      <c r="I12" s="316">
        <v>168</v>
      </c>
      <c r="J12" s="316"/>
      <c r="K12" s="316">
        <v>104</v>
      </c>
      <c r="L12" s="316"/>
      <c r="M12" s="316">
        <v>37</v>
      </c>
      <c r="N12" s="316"/>
      <c r="O12" s="316">
        <v>65</v>
      </c>
      <c r="P12" s="316"/>
      <c r="Q12" s="316">
        <v>0.2</v>
      </c>
      <c r="R12" s="316"/>
      <c r="S12" s="316">
        <v>0</v>
      </c>
      <c r="T12" s="316"/>
      <c r="U12" s="316">
        <v>5</v>
      </c>
      <c r="V12" s="316"/>
      <c r="W12" s="316">
        <v>9</v>
      </c>
      <c r="X12" s="316"/>
      <c r="Y12" s="317">
        <v>169</v>
      </c>
      <c r="Z12" s="318"/>
      <c r="AA12" s="207"/>
      <c r="AB12" s="222">
        <v>10</v>
      </c>
      <c r="AC12" s="223">
        <v>2019</v>
      </c>
      <c r="AD12" s="239">
        <f>C12+E12+G12+I12+K12+M12+O12+Q12+S12+U12+W12+Y12</f>
        <v>1238.2</v>
      </c>
      <c r="AE12" s="224">
        <f>MAX(C12:Z12)</f>
        <v>348</v>
      </c>
      <c r="AF12" s="219">
        <f t="shared" si="1"/>
        <v>6</v>
      </c>
      <c r="AG12" s="220">
        <f t="shared" si="2"/>
        <v>6</v>
      </c>
      <c r="AH12" s="206"/>
      <c r="AJ12" s="162"/>
      <c r="AX12" s="262"/>
      <c r="AY12" s="263">
        <v>2018</v>
      </c>
      <c r="AZ12" s="264">
        <v>336</v>
      </c>
      <c r="BA12" s="264">
        <v>240</v>
      </c>
      <c r="BB12" s="264">
        <v>232</v>
      </c>
      <c r="BC12" s="264">
        <v>136</v>
      </c>
      <c r="BD12" s="264">
        <v>144</v>
      </c>
      <c r="BE12" s="264">
        <v>210</v>
      </c>
      <c r="BF12" s="264">
        <v>202</v>
      </c>
      <c r="BG12" s="206">
        <v>0</v>
      </c>
      <c r="BH12" s="264">
        <v>0</v>
      </c>
      <c r="BI12" s="264">
        <v>0</v>
      </c>
      <c r="BJ12" s="264">
        <v>79</v>
      </c>
      <c r="BK12" s="264">
        <v>332</v>
      </c>
      <c r="BM12" s="258"/>
      <c r="BN12" s="264"/>
      <c r="BO12" s="268"/>
      <c r="BP12" s="264"/>
      <c r="BQ12" s="268"/>
      <c r="BR12" s="264"/>
      <c r="BS12" s="230"/>
      <c r="BT12" s="264"/>
      <c r="BU12" s="268"/>
      <c r="BV12" s="264"/>
      <c r="BW12" s="268"/>
      <c r="BX12" s="258"/>
    </row>
    <row r="13" spans="1:76" ht="15">
      <c r="A13" s="314" t="s">
        <v>16</v>
      </c>
      <c r="B13" s="315"/>
      <c r="C13" s="308">
        <f>SUM(C3:D12)/10</f>
        <v>239.6</v>
      </c>
      <c r="D13" s="308"/>
      <c r="E13" s="308">
        <f>SUM(E3:F12)/10</f>
        <v>234.8</v>
      </c>
      <c r="F13" s="308"/>
      <c r="G13" s="308">
        <f>SUM(G3:H12)/10</f>
        <v>248.8</v>
      </c>
      <c r="H13" s="308"/>
      <c r="I13" s="308">
        <f>SUM(I3:J12)/10</f>
        <v>204.2</v>
      </c>
      <c r="J13" s="308"/>
      <c r="K13" s="308">
        <f>SUM(K3:L12)/10</f>
        <v>223.1</v>
      </c>
      <c r="L13" s="308"/>
      <c r="M13" s="308">
        <f>SUM(M3:N12)/10</f>
        <v>204.1</v>
      </c>
      <c r="N13" s="308"/>
      <c r="O13" s="308">
        <f>SUM(O3:P12)/10</f>
        <v>128</v>
      </c>
      <c r="P13" s="308"/>
      <c r="Q13" s="308">
        <f>SUM(Q3:R12)/10</f>
        <v>32.92</v>
      </c>
      <c r="R13" s="308"/>
      <c r="S13" s="308">
        <f>SUM(S3:T12)/10</f>
        <v>41.5</v>
      </c>
      <c r="T13" s="308"/>
      <c r="U13" s="308">
        <f>SUM(U3:V12)/10</f>
        <v>58.4</v>
      </c>
      <c r="V13" s="308"/>
      <c r="W13" s="308">
        <f>SUM(W3:X12)/10</f>
        <v>98.3</v>
      </c>
      <c r="X13" s="308"/>
      <c r="Y13" s="308">
        <f>SUM(Y3:Z12)/10</f>
        <v>321.3</v>
      </c>
      <c r="Z13" s="313"/>
      <c r="AA13" s="225"/>
      <c r="AB13" s="314" t="s">
        <v>16</v>
      </c>
      <c r="AC13" s="315"/>
      <c r="AD13" s="236">
        <f>SUM(AD3:AD12)/10</f>
        <v>2035.02</v>
      </c>
      <c r="AE13" s="237">
        <f>SUM(AE3:AE12)/10</f>
        <v>397.7</v>
      </c>
      <c r="AF13" s="237">
        <f>SUM(AF3:AF12)/10</f>
        <v>7.9</v>
      </c>
      <c r="AG13" s="238">
        <f>SUM(AG3:AG12)/10</f>
        <v>4.1</v>
      </c>
      <c r="AH13" s="208"/>
      <c r="AI13" s="11"/>
      <c r="AJ13" s="209"/>
      <c r="AX13" s="262"/>
      <c r="AY13" s="263">
        <v>2019</v>
      </c>
      <c r="AZ13" s="264">
        <v>189</v>
      </c>
      <c r="BA13" s="264">
        <v>144</v>
      </c>
      <c r="BB13" s="264">
        <v>348</v>
      </c>
      <c r="BC13" s="264">
        <v>168</v>
      </c>
      <c r="BD13" s="264">
        <v>104</v>
      </c>
      <c r="BE13" s="264">
        <v>37</v>
      </c>
      <c r="BF13" s="264">
        <v>65</v>
      </c>
      <c r="BG13" s="206">
        <v>0.2</v>
      </c>
      <c r="BH13" s="264">
        <v>0</v>
      </c>
      <c r="BI13" s="206">
        <v>5</v>
      </c>
      <c r="BJ13" s="206">
        <v>9</v>
      </c>
      <c r="BK13" s="265">
        <v>169</v>
      </c>
      <c r="BM13" s="258"/>
      <c r="BN13" s="264"/>
      <c r="BO13" s="268"/>
      <c r="BP13" s="264"/>
      <c r="BQ13" s="268"/>
      <c r="BR13" s="264"/>
      <c r="BS13" s="268"/>
      <c r="BT13" s="264"/>
      <c r="BU13" s="268"/>
      <c r="BV13" s="265"/>
      <c r="BW13" s="268"/>
      <c r="BX13" s="258"/>
    </row>
    <row r="14" spans="1:76" ht="15">
      <c r="A14" s="46"/>
      <c r="B14" s="46"/>
      <c r="C14" s="301"/>
      <c r="D14" s="30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227"/>
      <c r="AD14" s="210"/>
      <c r="AE14" s="210"/>
      <c r="AF14" s="210"/>
      <c r="AG14" s="210"/>
      <c r="AH14" s="210"/>
      <c r="AI14" s="11"/>
      <c r="AX14" s="262"/>
      <c r="AY14" s="117" t="s">
        <v>16</v>
      </c>
      <c r="AZ14" s="230">
        <f>SUM(AZ4:AZ13)/10</f>
        <v>239.6</v>
      </c>
      <c r="BA14" s="230">
        <f aca="true" t="shared" si="4" ref="BA14:BK14">SUM(BA4:BA13)/10</f>
        <v>234.8</v>
      </c>
      <c r="BB14" s="230">
        <f t="shared" si="4"/>
        <v>248.8</v>
      </c>
      <c r="BC14" s="230">
        <f t="shared" si="4"/>
        <v>204.2</v>
      </c>
      <c r="BD14" s="230">
        <f t="shared" si="4"/>
        <v>223.1</v>
      </c>
      <c r="BE14" s="230">
        <f t="shared" si="4"/>
        <v>204.1</v>
      </c>
      <c r="BF14" s="230">
        <f t="shared" si="4"/>
        <v>128</v>
      </c>
      <c r="BG14" s="230">
        <f t="shared" si="4"/>
        <v>32.92</v>
      </c>
      <c r="BH14" s="230">
        <f t="shared" si="4"/>
        <v>41.5</v>
      </c>
      <c r="BI14" s="230">
        <f t="shared" si="4"/>
        <v>58.4</v>
      </c>
      <c r="BJ14" s="230">
        <f t="shared" si="4"/>
        <v>98.3</v>
      </c>
      <c r="BK14" s="230">
        <f t="shared" si="4"/>
        <v>321.3</v>
      </c>
      <c r="BL14" s="230"/>
      <c r="BM14" s="25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58"/>
    </row>
    <row r="15" spans="1:76" ht="15">
      <c r="A15" s="212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252" t="s">
        <v>353</v>
      </c>
      <c r="AE15" s="253">
        <f>MAX(AE3:AE12)</f>
        <v>628</v>
      </c>
      <c r="AF15" s="211"/>
      <c r="AG15" s="211"/>
      <c r="AH15" s="211"/>
      <c r="AI15" s="11"/>
      <c r="AX15" s="262"/>
      <c r="AY15" s="267" t="s">
        <v>415</v>
      </c>
      <c r="AZ15" s="193">
        <f>MAX(AZ4:AZ13)</f>
        <v>465</v>
      </c>
      <c r="BA15" s="193">
        <f aca="true" t="shared" si="5" ref="BA15:BK15">MAX(BA4:BA13)</f>
        <v>433</v>
      </c>
      <c r="BB15" s="193">
        <f t="shared" si="5"/>
        <v>441</v>
      </c>
      <c r="BC15" s="193">
        <f t="shared" si="5"/>
        <v>336</v>
      </c>
      <c r="BD15" s="193">
        <f t="shared" si="5"/>
        <v>385</v>
      </c>
      <c r="BE15" s="193">
        <f t="shared" si="5"/>
        <v>481</v>
      </c>
      <c r="BF15" s="193">
        <f t="shared" si="5"/>
        <v>250</v>
      </c>
      <c r="BG15" s="193">
        <f t="shared" si="5"/>
        <v>244</v>
      </c>
      <c r="BH15" s="193">
        <f t="shared" si="5"/>
        <v>236</v>
      </c>
      <c r="BI15" s="193">
        <f t="shared" si="5"/>
        <v>185</v>
      </c>
      <c r="BJ15" s="193">
        <f t="shared" si="5"/>
        <v>241</v>
      </c>
      <c r="BK15" s="193">
        <f t="shared" si="5"/>
        <v>628</v>
      </c>
      <c r="BL15" s="266"/>
      <c r="BM15" s="117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</row>
    <row r="16" spans="1:76" ht="15.75">
      <c r="A16" s="212" t="s">
        <v>14</v>
      </c>
      <c r="B16" s="213" t="s">
        <v>308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 t="s">
        <v>21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D16" s="254" t="s">
        <v>354</v>
      </c>
      <c r="AE16" s="255">
        <f>MIN(AE3:AE12)</f>
        <v>302</v>
      </c>
      <c r="AI16" s="240"/>
      <c r="AX16" s="262"/>
      <c r="AY16" s="117"/>
      <c r="AZ16" s="268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</row>
    <row r="17" spans="35:76" ht="15.75">
      <c r="AI17" s="240"/>
      <c r="AX17" s="262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</row>
    <row r="18" spans="29:76" ht="15.75">
      <c r="AC18" s="337" t="s">
        <v>313</v>
      </c>
      <c r="AD18" s="345" t="s">
        <v>28</v>
      </c>
      <c r="AE18" s="246">
        <f>AG13</f>
        <v>4.1</v>
      </c>
      <c r="AF18" s="344" t="s">
        <v>246</v>
      </c>
      <c r="AG18" s="338">
        <v>1</v>
      </c>
      <c r="AI18" s="243"/>
      <c r="AJ18" s="240"/>
      <c r="AX18" s="262"/>
      <c r="AY18" s="267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117"/>
      <c r="BK18" s="117"/>
      <c r="BL18" s="266"/>
      <c r="BM18" s="262"/>
      <c r="BN18" s="262"/>
      <c r="BO18" s="262"/>
      <c r="BP18" s="266"/>
      <c r="BQ18" s="262"/>
      <c r="BR18" s="262"/>
      <c r="BS18" s="262"/>
      <c r="BT18" s="262"/>
      <c r="BU18" s="262"/>
      <c r="BV18" s="262"/>
      <c r="BW18" s="262"/>
      <c r="BX18" s="262"/>
    </row>
    <row r="19" spans="1:68" ht="15.75">
      <c r="A19" s="203"/>
      <c r="B19" s="203"/>
      <c r="AC19" s="337"/>
      <c r="AD19" s="345"/>
      <c r="AE19" s="247">
        <f>AF13</f>
        <v>7.9</v>
      </c>
      <c r="AF19" s="344"/>
      <c r="AG19" s="338"/>
      <c r="AI19" s="244"/>
      <c r="AJ19" s="244"/>
      <c r="BP19" s="266"/>
    </row>
    <row r="20" spans="1:68" ht="15.75">
      <c r="A20" s="203"/>
      <c r="B20" s="203"/>
      <c r="AC20" s="240"/>
      <c r="AD20" s="241" t="s">
        <v>28</v>
      </c>
      <c r="AE20" s="242">
        <f>(AE18/AE19)/AG18%</f>
        <v>51.898734177215175</v>
      </c>
      <c r="AF20" s="244" t="s">
        <v>314</v>
      </c>
      <c r="AG20" s="244" t="s">
        <v>315</v>
      </c>
      <c r="BP20" s="266"/>
    </row>
    <row r="21" spans="1:68" ht="15.75">
      <c r="A21" s="214"/>
      <c r="B21" s="19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H21" s="245"/>
      <c r="BP21" s="266"/>
    </row>
    <row r="22" spans="1:68" ht="15.75">
      <c r="A22" s="214"/>
      <c r="B22" s="192"/>
      <c r="C22" s="331" t="s">
        <v>316</v>
      </c>
      <c r="D22" s="332"/>
      <c r="E22" s="332" t="s">
        <v>317</v>
      </c>
      <c r="F22" s="332"/>
      <c r="G22" s="332"/>
      <c r="H22" s="340" t="s">
        <v>318</v>
      </c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 t="s">
        <v>335</v>
      </c>
      <c r="U22" s="340"/>
      <c r="V22" s="340"/>
      <c r="W22" s="349"/>
      <c r="X22" s="11"/>
      <c r="Y22" s="11"/>
      <c r="Z22" s="11"/>
      <c r="AH22" s="245"/>
      <c r="BP22" s="266"/>
    </row>
    <row r="23" spans="1:68" ht="15">
      <c r="A23" s="214"/>
      <c r="B23" s="192"/>
      <c r="C23" s="333" t="s">
        <v>319</v>
      </c>
      <c r="D23" s="334"/>
      <c r="E23" s="334" t="s">
        <v>320</v>
      </c>
      <c r="F23" s="334"/>
      <c r="G23" s="334"/>
      <c r="H23" s="341" t="s">
        <v>321</v>
      </c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50" t="s">
        <v>336</v>
      </c>
      <c r="U23" s="350"/>
      <c r="V23" s="350"/>
      <c r="W23" s="351"/>
      <c r="X23" s="11"/>
      <c r="Y23" s="11"/>
      <c r="Z23" s="11"/>
      <c r="BP23" s="266"/>
    </row>
    <row r="24" spans="1:68" ht="15">
      <c r="A24" s="214"/>
      <c r="B24" s="192"/>
      <c r="C24" s="329" t="s">
        <v>322</v>
      </c>
      <c r="D24" s="330"/>
      <c r="E24" s="330" t="s">
        <v>343</v>
      </c>
      <c r="F24" s="330"/>
      <c r="G24" s="330"/>
      <c r="H24" s="339" t="s">
        <v>323</v>
      </c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42" t="s">
        <v>337</v>
      </c>
      <c r="U24" s="342"/>
      <c r="V24" s="342"/>
      <c r="W24" s="343"/>
      <c r="X24" s="11"/>
      <c r="Y24" s="11"/>
      <c r="Z24" s="11"/>
      <c r="BP24" s="266"/>
    </row>
    <row r="25" spans="1:68" ht="15">
      <c r="A25" s="214"/>
      <c r="B25" s="192"/>
      <c r="C25" s="329" t="s">
        <v>324</v>
      </c>
      <c r="D25" s="330"/>
      <c r="E25" s="330" t="s">
        <v>344</v>
      </c>
      <c r="F25" s="330"/>
      <c r="G25" s="330"/>
      <c r="H25" s="339" t="s">
        <v>325</v>
      </c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42" t="s">
        <v>315</v>
      </c>
      <c r="U25" s="342"/>
      <c r="V25" s="342"/>
      <c r="W25" s="343"/>
      <c r="X25" s="11"/>
      <c r="Y25" s="11"/>
      <c r="Z25" s="11"/>
      <c r="BP25" s="266"/>
    </row>
    <row r="26" spans="2:68" ht="15">
      <c r="B26" s="11"/>
      <c r="C26" s="329" t="s">
        <v>186</v>
      </c>
      <c r="D26" s="330"/>
      <c r="E26" s="330" t="s">
        <v>345</v>
      </c>
      <c r="F26" s="330"/>
      <c r="G26" s="330"/>
      <c r="H26" s="339" t="s">
        <v>326</v>
      </c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42" t="s">
        <v>338</v>
      </c>
      <c r="U26" s="342"/>
      <c r="V26" s="342"/>
      <c r="W26" s="343"/>
      <c r="X26" s="11"/>
      <c r="Y26" s="11"/>
      <c r="Z26" s="11"/>
      <c r="BP26" s="266"/>
    </row>
    <row r="27" spans="2:68" ht="15">
      <c r="B27" s="11"/>
      <c r="C27" s="329" t="s">
        <v>327</v>
      </c>
      <c r="D27" s="330"/>
      <c r="E27" s="330" t="s">
        <v>346</v>
      </c>
      <c r="F27" s="330"/>
      <c r="G27" s="330"/>
      <c r="H27" s="339" t="s">
        <v>328</v>
      </c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42" t="s">
        <v>339</v>
      </c>
      <c r="U27" s="342"/>
      <c r="V27" s="342"/>
      <c r="W27" s="343"/>
      <c r="X27" s="11"/>
      <c r="Y27" s="11"/>
      <c r="Z27" s="11"/>
      <c r="BP27" s="266"/>
    </row>
    <row r="28" spans="2:26" ht="15">
      <c r="B28" s="11"/>
      <c r="C28" s="329" t="s">
        <v>329</v>
      </c>
      <c r="D28" s="330"/>
      <c r="E28" s="330" t="s">
        <v>347</v>
      </c>
      <c r="F28" s="330"/>
      <c r="G28" s="330"/>
      <c r="H28" s="339" t="s">
        <v>330</v>
      </c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42" t="s">
        <v>340</v>
      </c>
      <c r="U28" s="342"/>
      <c r="V28" s="342"/>
      <c r="W28" s="343"/>
      <c r="X28" s="11"/>
      <c r="Y28" s="11"/>
      <c r="Z28" s="11"/>
    </row>
    <row r="29" spans="2:26" ht="15">
      <c r="B29" s="11"/>
      <c r="C29" s="329" t="s">
        <v>182</v>
      </c>
      <c r="D29" s="330"/>
      <c r="E29" s="330" t="s">
        <v>348</v>
      </c>
      <c r="F29" s="330"/>
      <c r="G29" s="330"/>
      <c r="H29" s="339" t="s">
        <v>331</v>
      </c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42" t="s">
        <v>341</v>
      </c>
      <c r="U29" s="342"/>
      <c r="V29" s="342"/>
      <c r="W29" s="343"/>
      <c r="X29" s="11"/>
      <c r="Y29" s="11"/>
      <c r="Z29" s="11"/>
    </row>
    <row r="30" spans="2:26" ht="15">
      <c r="B30" s="11"/>
      <c r="C30" s="335" t="s">
        <v>332</v>
      </c>
      <c r="D30" s="336"/>
      <c r="E30" s="336" t="s">
        <v>333</v>
      </c>
      <c r="F30" s="336"/>
      <c r="G30" s="336"/>
      <c r="H30" s="348" t="s">
        <v>334</v>
      </c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6" t="s">
        <v>342</v>
      </c>
      <c r="U30" s="346"/>
      <c r="V30" s="346"/>
      <c r="W30" s="347"/>
      <c r="X30" s="11"/>
      <c r="Y30" s="11"/>
      <c r="Z30" s="11"/>
    </row>
    <row r="31" spans="2:26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W31" s="11"/>
      <c r="X31" s="11"/>
      <c r="Y31" s="11"/>
      <c r="Z31" s="11"/>
    </row>
    <row r="32" spans="2:26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"/>
    <row r="35" ht="15"/>
    <row r="36" ht="15"/>
    <row r="37" ht="15"/>
    <row r="38" ht="15"/>
    <row r="39" ht="15"/>
    <row r="40" ht="15"/>
    <row r="41" ht="15"/>
  </sheetData>
  <sheetProtection/>
  <mergeCells count="207">
    <mergeCell ref="T29:W29"/>
    <mergeCell ref="T30:W30"/>
    <mergeCell ref="H26:S26"/>
    <mergeCell ref="H27:S27"/>
    <mergeCell ref="H30:S30"/>
    <mergeCell ref="T22:W22"/>
    <mergeCell ref="T23:W23"/>
    <mergeCell ref="T24:W24"/>
    <mergeCell ref="T25:W25"/>
    <mergeCell ref="T26:W26"/>
    <mergeCell ref="T27:W27"/>
    <mergeCell ref="T28:W28"/>
    <mergeCell ref="AB1:AB2"/>
    <mergeCell ref="AB13:AC13"/>
    <mergeCell ref="AF18:AF19"/>
    <mergeCell ref="AD18:AD19"/>
    <mergeCell ref="S2:T2"/>
    <mergeCell ref="U2:V2"/>
    <mergeCell ref="S1:T1"/>
    <mergeCell ref="U1:V1"/>
    <mergeCell ref="E22:G22"/>
    <mergeCell ref="E23:G23"/>
    <mergeCell ref="AC18:AC19"/>
    <mergeCell ref="AG18:AG19"/>
    <mergeCell ref="H28:S28"/>
    <mergeCell ref="H29:S29"/>
    <mergeCell ref="H22:S22"/>
    <mergeCell ref="H23:S23"/>
    <mergeCell ref="H24:S24"/>
    <mergeCell ref="H25:S25"/>
    <mergeCell ref="C30:D30"/>
    <mergeCell ref="E28:G28"/>
    <mergeCell ref="E29:G29"/>
    <mergeCell ref="E30:G30"/>
    <mergeCell ref="C24:D24"/>
    <mergeCell ref="C25:D25"/>
    <mergeCell ref="C26:D26"/>
    <mergeCell ref="C27:D27"/>
    <mergeCell ref="E24:G24"/>
    <mergeCell ref="E25:G25"/>
    <mergeCell ref="W1:X1"/>
    <mergeCell ref="Y1:Z1"/>
    <mergeCell ref="C28:D28"/>
    <mergeCell ref="C29:D29"/>
    <mergeCell ref="E26:G26"/>
    <mergeCell ref="E27:G27"/>
    <mergeCell ref="C22:D22"/>
    <mergeCell ref="C23:D23"/>
    <mergeCell ref="G2:H2"/>
    <mergeCell ref="I2:J2"/>
    <mergeCell ref="K2:L2"/>
    <mergeCell ref="M2:N2"/>
    <mergeCell ref="O1:P1"/>
    <mergeCell ref="Q1:R1"/>
    <mergeCell ref="K1:L1"/>
    <mergeCell ref="M1:N1"/>
    <mergeCell ref="O2:P2"/>
    <mergeCell ref="Q2:R2"/>
    <mergeCell ref="A1:A2"/>
    <mergeCell ref="C1:D1"/>
    <mergeCell ref="E1:F1"/>
    <mergeCell ref="G1:H1"/>
    <mergeCell ref="I1:J1"/>
    <mergeCell ref="B1:B2"/>
    <mergeCell ref="C2:D2"/>
    <mergeCell ref="E2:F2"/>
    <mergeCell ref="K3:L3"/>
    <mergeCell ref="Y3:Z3"/>
    <mergeCell ref="M3:N3"/>
    <mergeCell ref="O3:P3"/>
    <mergeCell ref="Q3:R3"/>
    <mergeCell ref="S3:T3"/>
    <mergeCell ref="U3:V3"/>
    <mergeCell ref="W3:X3"/>
    <mergeCell ref="M4:N4"/>
    <mergeCell ref="O4:P4"/>
    <mergeCell ref="Q4:R4"/>
    <mergeCell ref="W2:X2"/>
    <mergeCell ref="Y2:Z2"/>
    <mergeCell ref="C3:D3"/>
    <mergeCell ref="E3:F3"/>
    <mergeCell ref="G3:H3"/>
    <mergeCell ref="I3:J3"/>
    <mergeCell ref="C4:D4"/>
    <mergeCell ref="E4:F4"/>
    <mergeCell ref="G4:H4"/>
    <mergeCell ref="I4:J4"/>
    <mergeCell ref="K4:L4"/>
    <mergeCell ref="Y4:Z4"/>
    <mergeCell ref="C5:D5"/>
    <mergeCell ref="E5:F5"/>
    <mergeCell ref="G5:H5"/>
    <mergeCell ref="I5:J5"/>
    <mergeCell ref="K5:L5"/>
    <mergeCell ref="Y5:Z5"/>
    <mergeCell ref="M5:N5"/>
    <mergeCell ref="O5:P5"/>
    <mergeCell ref="M6:N6"/>
    <mergeCell ref="O6:P6"/>
    <mergeCell ref="Q6:R6"/>
    <mergeCell ref="S4:T4"/>
    <mergeCell ref="U4:V4"/>
    <mergeCell ref="W4:X4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Y6:Z6"/>
    <mergeCell ref="S6:T6"/>
    <mergeCell ref="U6:V6"/>
    <mergeCell ref="W6:X6"/>
    <mergeCell ref="Y7:Z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Y8:Z8"/>
    <mergeCell ref="M8:N8"/>
    <mergeCell ref="O8:P8"/>
    <mergeCell ref="Q8:R8"/>
    <mergeCell ref="C9:D9"/>
    <mergeCell ref="E9:F9"/>
    <mergeCell ref="G9:H9"/>
    <mergeCell ref="I9:J9"/>
    <mergeCell ref="K9:L9"/>
    <mergeCell ref="Y9:Z9"/>
    <mergeCell ref="M9:N9"/>
    <mergeCell ref="O9:P9"/>
    <mergeCell ref="S8:T8"/>
    <mergeCell ref="U8:V8"/>
    <mergeCell ref="W8:X8"/>
    <mergeCell ref="Q9:R9"/>
    <mergeCell ref="S9:T9"/>
    <mergeCell ref="U9:V9"/>
    <mergeCell ref="W9:X9"/>
    <mergeCell ref="C10:D10"/>
    <mergeCell ref="E10:F10"/>
    <mergeCell ref="G10:H10"/>
    <mergeCell ref="I10:J10"/>
    <mergeCell ref="K10:L10"/>
    <mergeCell ref="Y10:Z10"/>
    <mergeCell ref="M10:N10"/>
    <mergeCell ref="O10:P10"/>
    <mergeCell ref="Q10:R10"/>
    <mergeCell ref="C11:D11"/>
    <mergeCell ref="E11:F11"/>
    <mergeCell ref="G11:H11"/>
    <mergeCell ref="I11:J11"/>
    <mergeCell ref="K11:L11"/>
    <mergeCell ref="Y11:Z11"/>
    <mergeCell ref="M11:N11"/>
    <mergeCell ref="O11:P11"/>
    <mergeCell ref="Q12:R12"/>
    <mergeCell ref="S10:T10"/>
    <mergeCell ref="U10:V10"/>
    <mergeCell ref="W10:X10"/>
    <mergeCell ref="Q11:R11"/>
    <mergeCell ref="S11:T11"/>
    <mergeCell ref="U11:V11"/>
    <mergeCell ref="W11:X11"/>
    <mergeCell ref="U13:V13"/>
    <mergeCell ref="W13:X13"/>
    <mergeCell ref="Y12:Z12"/>
    <mergeCell ref="C12:D12"/>
    <mergeCell ref="E12:F12"/>
    <mergeCell ref="G12:H12"/>
    <mergeCell ref="I12:J12"/>
    <mergeCell ref="K12:L12"/>
    <mergeCell ref="M12:N12"/>
    <mergeCell ref="O12:P12"/>
    <mergeCell ref="AD1:AD2"/>
    <mergeCell ref="O13:P13"/>
    <mergeCell ref="M13:N13"/>
    <mergeCell ref="Y13:Z13"/>
    <mergeCell ref="A13:B13"/>
    <mergeCell ref="S12:T12"/>
    <mergeCell ref="U12:V12"/>
    <mergeCell ref="W12:X12"/>
    <mergeCell ref="Q13:R13"/>
    <mergeCell ref="S13:T13"/>
    <mergeCell ref="C14:D14"/>
    <mergeCell ref="AF1:AF2"/>
    <mergeCell ref="AG1:AG2"/>
    <mergeCell ref="AE1:AE2"/>
    <mergeCell ref="K13:L13"/>
    <mergeCell ref="I13:J13"/>
    <mergeCell ref="G13:H13"/>
    <mergeCell ref="E13:F13"/>
    <mergeCell ref="C13:D13"/>
    <mergeCell ref="AC1:AC2"/>
  </mergeCells>
  <printOptions horizontalCentered="1"/>
  <pageMargins left="0.5905511811023623" right="0.5905511811023623" top="0.7874015748031497" bottom="0.5905511811023623" header="0.3937007874015748" footer="0.3937007874015748"/>
  <pageSetup horizontalDpi="360" verticalDpi="360" orientation="landscape" paperSize="9" r:id="rId2"/>
  <ignoredErrors>
    <ignoredError sqref="AE4:AE12 AF3:AG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PageLayoutView="0" workbookViewId="0" topLeftCell="A1">
      <selection activeCell="D29" sqref="D29"/>
    </sheetView>
  </sheetViews>
  <sheetFormatPr defaultColWidth="9.140625" defaultRowHeight="15"/>
  <cols>
    <col min="1" max="1" width="4.140625" style="11" customWidth="1"/>
    <col min="2" max="2" width="13.7109375" style="11" customWidth="1"/>
    <col min="3" max="3" width="9.421875" style="11" bestFit="1" customWidth="1"/>
    <col min="4" max="5" width="9.140625" style="11" customWidth="1"/>
    <col min="6" max="6" width="10.57421875" style="11" customWidth="1"/>
    <col min="7" max="7" width="9.140625" style="11" customWidth="1"/>
    <col min="8" max="8" width="11.8515625" style="11" bestFit="1" customWidth="1"/>
    <col min="9" max="9" width="15.00390625" style="11" bestFit="1" customWidth="1"/>
    <col min="10" max="27" width="10.00390625" style="11" customWidth="1"/>
    <col min="28" max="16384" width="9.140625" style="11" customWidth="1"/>
  </cols>
  <sheetData>
    <row r="1" ht="14.25">
      <c r="A1" s="11" t="s">
        <v>113</v>
      </c>
    </row>
    <row r="3" spans="1:9" ht="14.25" customHeight="1">
      <c r="A3" s="352" t="s">
        <v>94</v>
      </c>
      <c r="B3" s="353" t="s">
        <v>99</v>
      </c>
      <c r="C3" s="359" t="s">
        <v>109</v>
      </c>
      <c r="D3" s="352" t="s">
        <v>95</v>
      </c>
      <c r="E3" s="352" t="s">
        <v>108</v>
      </c>
      <c r="F3" s="352" t="s">
        <v>111</v>
      </c>
      <c r="G3" s="352" t="s">
        <v>110</v>
      </c>
      <c r="H3" s="352" t="s">
        <v>96</v>
      </c>
      <c r="I3" s="352" t="s">
        <v>112</v>
      </c>
    </row>
    <row r="4" spans="1:9" ht="14.25" customHeight="1">
      <c r="A4" s="352"/>
      <c r="B4" s="353"/>
      <c r="C4" s="359"/>
      <c r="D4" s="352"/>
      <c r="E4" s="352"/>
      <c r="F4" s="352"/>
      <c r="G4" s="352"/>
      <c r="H4" s="352"/>
      <c r="I4" s="352"/>
    </row>
    <row r="5" spans="1:10" ht="14.25">
      <c r="A5" s="28">
        <v>1</v>
      </c>
      <c r="B5" s="197">
        <v>2010</v>
      </c>
      <c r="C5" s="229">
        <f>'Distribusi Normal'!C7:D7</f>
        <v>628</v>
      </c>
      <c r="D5" s="28">
        <f>C15/10</f>
        <v>397.7</v>
      </c>
      <c r="E5" s="41">
        <f aca="true" t="shared" si="0" ref="E5:E14">LOG(C5)</f>
        <v>2.797959643737196</v>
      </c>
      <c r="F5" s="41">
        <f>AVERAGE(E5:E14)</f>
        <v>2.588715964785229</v>
      </c>
      <c r="G5" s="29">
        <f aca="true" t="shared" si="1" ref="G5:G14">C5-D5</f>
        <v>230.3</v>
      </c>
      <c r="H5" s="29">
        <f aca="true" t="shared" si="2" ref="H5:H14">G5^2</f>
        <v>53038.090000000004</v>
      </c>
      <c r="I5" s="41">
        <f aca="true" t="shared" si="3" ref="I5:I14">(E5-F5)^2</f>
        <v>0.04378291718135381</v>
      </c>
      <c r="J5" s="5"/>
    </row>
    <row r="6" spans="1:9" ht="14.25">
      <c r="A6" s="30">
        <v>2</v>
      </c>
      <c r="B6" s="117">
        <v>2011</v>
      </c>
      <c r="C6" s="230">
        <f>'Distribusi Normal'!C8:D8</f>
        <v>441</v>
      </c>
      <c r="D6" s="30">
        <f aca="true" t="shared" si="4" ref="D6:D14">D5</f>
        <v>397.7</v>
      </c>
      <c r="E6" s="39">
        <f>LOG(C6)</f>
        <v>2.6444385894678386</v>
      </c>
      <c r="F6" s="39">
        <f>F5</f>
        <v>2.588715964785229</v>
      </c>
      <c r="G6" s="31">
        <f t="shared" si="1"/>
        <v>43.30000000000001</v>
      </c>
      <c r="H6" s="31">
        <f t="shared" si="2"/>
        <v>1874.890000000001</v>
      </c>
      <c r="I6" s="39">
        <f t="shared" si="3"/>
        <v>0.0031050109015189576</v>
      </c>
    </row>
    <row r="7" spans="1:14" ht="14.25">
      <c r="A7" s="30">
        <v>3</v>
      </c>
      <c r="B7" s="117">
        <v>2012</v>
      </c>
      <c r="C7" s="230">
        <f>'Distribusi Normal'!C9:D9</f>
        <v>337</v>
      </c>
      <c r="D7" s="30">
        <f t="shared" si="4"/>
        <v>397.7</v>
      </c>
      <c r="E7" s="39">
        <f t="shared" si="0"/>
        <v>2.5276299008713385</v>
      </c>
      <c r="F7" s="39">
        <f aca="true" t="shared" si="5" ref="F7:F14">F6</f>
        <v>2.588715964785229</v>
      </c>
      <c r="G7" s="31">
        <f t="shared" si="1"/>
        <v>-60.69999999999999</v>
      </c>
      <c r="H7" s="31">
        <f t="shared" si="2"/>
        <v>3684.4899999999984</v>
      </c>
      <c r="I7" s="39">
        <f t="shared" si="3"/>
        <v>0.003731507204491927</v>
      </c>
      <c r="L7" s="18"/>
      <c r="M7" s="18"/>
      <c r="N7" s="18"/>
    </row>
    <row r="8" spans="1:14" ht="14.25">
      <c r="A8" s="30">
        <v>4</v>
      </c>
      <c r="B8" s="117">
        <v>2013</v>
      </c>
      <c r="C8" s="230">
        <f>'Distribusi Normal'!C10:D10</f>
        <v>321</v>
      </c>
      <c r="D8" s="30">
        <f t="shared" si="4"/>
        <v>397.7</v>
      </c>
      <c r="E8" s="39">
        <f t="shared" si="0"/>
        <v>2.506505032404872</v>
      </c>
      <c r="F8" s="39">
        <f t="shared" si="5"/>
        <v>2.588715964785229</v>
      </c>
      <c r="G8" s="31">
        <f t="shared" si="1"/>
        <v>-76.69999999999999</v>
      </c>
      <c r="H8" s="31">
        <f t="shared" si="2"/>
        <v>5882.8899999999985</v>
      </c>
      <c r="I8" s="39">
        <f t="shared" si="3"/>
        <v>0.006758637402847674</v>
      </c>
      <c r="L8" s="18"/>
      <c r="M8" s="18"/>
      <c r="N8" s="18"/>
    </row>
    <row r="9" spans="1:14" ht="14.25">
      <c r="A9" s="30">
        <v>5</v>
      </c>
      <c r="B9" s="117">
        <v>2014</v>
      </c>
      <c r="C9" s="230">
        <f>'Distribusi Normal'!C11:D11</f>
        <v>302</v>
      </c>
      <c r="D9" s="30">
        <f t="shared" si="4"/>
        <v>397.7</v>
      </c>
      <c r="E9" s="39">
        <f t="shared" si="0"/>
        <v>2.4800069429571505</v>
      </c>
      <c r="F9" s="39">
        <f t="shared" si="5"/>
        <v>2.588715964785229</v>
      </c>
      <c r="G9" s="31">
        <f t="shared" si="1"/>
        <v>-95.69999999999999</v>
      </c>
      <c r="H9" s="31">
        <f t="shared" si="2"/>
        <v>9158.489999999998</v>
      </c>
      <c r="I9" s="39">
        <f t="shared" si="3"/>
        <v>0.011817651426817675</v>
      </c>
      <c r="M9" s="19"/>
      <c r="N9" s="18"/>
    </row>
    <row r="10" spans="1:14" ht="14.25">
      <c r="A10" s="30">
        <v>6</v>
      </c>
      <c r="B10" s="117">
        <v>2015</v>
      </c>
      <c r="C10" s="230">
        <f>'Distribusi Normal'!C12:D12</f>
        <v>350</v>
      </c>
      <c r="D10" s="30">
        <f t="shared" si="4"/>
        <v>397.7</v>
      </c>
      <c r="E10" s="39">
        <f t="shared" si="0"/>
        <v>2.5440680443502757</v>
      </c>
      <c r="F10" s="39">
        <f t="shared" si="5"/>
        <v>2.588715964785229</v>
      </c>
      <c r="G10" s="31">
        <f t="shared" si="1"/>
        <v>-47.69999999999999</v>
      </c>
      <c r="H10" s="31">
        <f t="shared" si="2"/>
        <v>2275.289999999999</v>
      </c>
      <c r="I10" s="39">
        <f t="shared" si="3"/>
        <v>0.0019934367991659356</v>
      </c>
      <c r="L10" s="18"/>
      <c r="M10" s="18"/>
      <c r="N10" s="18"/>
    </row>
    <row r="11" spans="1:14" ht="14.25">
      <c r="A11" s="30">
        <v>7</v>
      </c>
      <c r="B11" s="117">
        <v>2016</v>
      </c>
      <c r="C11" s="230">
        <f>'Distribusi Normal'!C13:D13</f>
        <v>433</v>
      </c>
      <c r="D11" s="30">
        <f t="shared" si="4"/>
        <v>397.7</v>
      </c>
      <c r="E11" s="39">
        <f t="shared" si="0"/>
        <v>2.6364878963533656</v>
      </c>
      <c r="F11" s="39">
        <f t="shared" si="5"/>
        <v>2.588715964785229</v>
      </c>
      <c r="G11" s="31">
        <f t="shared" si="1"/>
        <v>35.30000000000001</v>
      </c>
      <c r="H11" s="31">
        <f t="shared" si="2"/>
        <v>1246.0900000000008</v>
      </c>
      <c r="I11" s="39">
        <f t="shared" si="3"/>
        <v>0.002282157445750709</v>
      </c>
      <c r="L11" s="18"/>
      <c r="M11" s="18"/>
      <c r="N11" s="18"/>
    </row>
    <row r="12" spans="1:14" ht="14.25">
      <c r="A12" s="30">
        <v>8</v>
      </c>
      <c r="B12" s="117">
        <v>2017</v>
      </c>
      <c r="C12" s="230">
        <f>'Distribusi Normal'!C14:D14</f>
        <v>481</v>
      </c>
      <c r="D12" s="30">
        <f t="shared" si="4"/>
        <v>397.7</v>
      </c>
      <c r="E12" s="39">
        <f t="shared" si="0"/>
        <v>2.682145076373832</v>
      </c>
      <c r="F12" s="39">
        <f t="shared" si="5"/>
        <v>2.588715964785229</v>
      </c>
      <c r="G12" s="31">
        <f t="shared" si="1"/>
        <v>83.30000000000001</v>
      </c>
      <c r="H12" s="31">
        <f t="shared" si="2"/>
        <v>6938.890000000002</v>
      </c>
      <c r="I12" s="39">
        <f t="shared" si="3"/>
        <v>0.008728998892235591</v>
      </c>
      <c r="L12" s="18"/>
      <c r="M12" s="18"/>
      <c r="N12" s="18"/>
    </row>
    <row r="13" spans="1:12" ht="14.25">
      <c r="A13" s="30">
        <v>9</v>
      </c>
      <c r="B13" s="117">
        <v>2018</v>
      </c>
      <c r="C13" s="230">
        <f>'Distribusi Normal'!C15:D15</f>
        <v>336</v>
      </c>
      <c r="D13" s="30">
        <f t="shared" si="4"/>
        <v>397.7</v>
      </c>
      <c r="E13" s="39">
        <f t="shared" si="0"/>
        <v>2.526339277389844</v>
      </c>
      <c r="F13" s="39">
        <f t="shared" si="5"/>
        <v>2.588715964785229</v>
      </c>
      <c r="G13" s="31">
        <f t="shared" si="1"/>
        <v>-61.69999999999999</v>
      </c>
      <c r="H13" s="31">
        <f t="shared" si="2"/>
        <v>3806.8899999999985</v>
      </c>
      <c r="I13" s="39">
        <f t="shared" si="3"/>
        <v>0.0038908511304215875</v>
      </c>
      <c r="L13" s="37"/>
    </row>
    <row r="14" spans="1:12" ht="14.25">
      <c r="A14" s="12">
        <v>10</v>
      </c>
      <c r="B14" s="198">
        <v>2019</v>
      </c>
      <c r="C14" s="231">
        <f>'Distribusi Normal'!C16:D16</f>
        <v>348</v>
      </c>
      <c r="D14" s="12">
        <f t="shared" si="4"/>
        <v>397.7</v>
      </c>
      <c r="E14" s="42">
        <f t="shared" si="0"/>
        <v>2.5415792439465807</v>
      </c>
      <c r="F14" s="42">
        <f t="shared" si="5"/>
        <v>2.588715964785229</v>
      </c>
      <c r="G14" s="33">
        <f t="shared" si="1"/>
        <v>-49.69999999999999</v>
      </c>
      <c r="H14" s="33">
        <f t="shared" si="2"/>
        <v>2470.089999999999</v>
      </c>
      <c r="I14" s="42">
        <f t="shared" si="3"/>
        <v>0.00222187045142067</v>
      </c>
      <c r="J14" s="17"/>
      <c r="L14" s="23"/>
    </row>
    <row r="15" spans="1:13" ht="14.25">
      <c r="A15" s="352" t="s">
        <v>15</v>
      </c>
      <c r="B15" s="352"/>
      <c r="C15" s="232">
        <f>SUM(C5:C14)</f>
        <v>3977</v>
      </c>
      <c r="D15" s="25"/>
      <c r="E15" s="27">
        <f>SUM(E5:E14)</f>
        <v>25.887159647852293</v>
      </c>
      <c r="F15" s="25"/>
      <c r="G15" s="25"/>
      <c r="H15" s="26">
        <f>SUM(H5:H14)</f>
        <v>90376.09999999999</v>
      </c>
      <c r="I15" s="40">
        <f>SUM(I5:I14)</f>
        <v>0.08831303883602452</v>
      </c>
      <c r="M15" s="2"/>
    </row>
    <row r="16" ht="14.25">
      <c r="L16" s="38"/>
    </row>
    <row r="17" spans="1:12" ht="14.25">
      <c r="A17" s="11" t="s">
        <v>100</v>
      </c>
      <c r="J17" s="21"/>
      <c r="K17" s="36"/>
      <c r="L17" s="21"/>
    </row>
    <row r="18" spans="2:13" ht="14.25">
      <c r="B18" s="53" t="s">
        <v>239</v>
      </c>
      <c r="C18" s="11">
        <f>SQRT(I15/(A14-1))</f>
        <v>0.09905836598021084</v>
      </c>
      <c r="M18" s="20"/>
    </row>
    <row r="19" spans="3:13" ht="14.25">
      <c r="C19" s="2"/>
      <c r="M19" s="20"/>
    </row>
    <row r="21" spans="1:13" ht="14.25">
      <c r="A21" s="352" t="s">
        <v>22</v>
      </c>
      <c r="B21" s="359" t="s">
        <v>31</v>
      </c>
      <c r="C21" s="352" t="s">
        <v>103</v>
      </c>
      <c r="D21" s="352" t="s">
        <v>116</v>
      </c>
      <c r="E21" s="352" t="s">
        <v>115</v>
      </c>
      <c r="F21" s="352" t="s">
        <v>104</v>
      </c>
      <c r="G21" s="43"/>
      <c r="L21" s="22"/>
      <c r="M21" s="38"/>
    </row>
    <row r="22" spans="1:12" ht="14.25">
      <c r="A22" s="352"/>
      <c r="B22" s="359"/>
      <c r="C22" s="352"/>
      <c r="D22" s="352"/>
      <c r="E22" s="352"/>
      <c r="F22" s="352"/>
      <c r="G22" s="43"/>
      <c r="L22" s="2"/>
    </row>
    <row r="23" spans="1:7" ht="14.25">
      <c r="A23" s="30">
        <v>1</v>
      </c>
      <c r="B23" s="30">
        <v>5</v>
      </c>
      <c r="C23" s="32">
        <f>'Distribusi Normal'!E27</f>
        <v>0.84</v>
      </c>
      <c r="D23" s="44">
        <f>STDEV(E5:E14)</f>
        <v>0.09905836598021084</v>
      </c>
      <c r="E23" s="44">
        <f>F6+(C23*D23)</f>
        <v>2.671924992208606</v>
      </c>
      <c r="F23" s="32">
        <f>10^E23</f>
        <v>469.8129593453402</v>
      </c>
      <c r="G23" s="43"/>
    </row>
    <row r="24" spans="1:7" ht="14.25">
      <c r="A24" s="30">
        <v>2</v>
      </c>
      <c r="B24" s="30">
        <v>20</v>
      </c>
      <c r="C24" s="32">
        <f>'Distribusi Normal'!E28</f>
        <v>1.64</v>
      </c>
      <c r="D24" s="44">
        <f>D23</f>
        <v>0.09905836598021084</v>
      </c>
      <c r="E24" s="44">
        <f>F8+(C24*D24)</f>
        <v>2.7511716849927748</v>
      </c>
      <c r="F24" s="32">
        <f>10^E24</f>
        <v>563.8605167200628</v>
      </c>
      <c r="G24" s="43"/>
    </row>
    <row r="25" spans="1:13" ht="14.25">
      <c r="A25" s="30">
        <v>3</v>
      </c>
      <c r="B25" s="30">
        <v>25</v>
      </c>
      <c r="C25" s="32">
        <f>'Distribusi Normal'!E29</f>
        <v>1.708</v>
      </c>
      <c r="D25" s="44">
        <f>D24</f>
        <v>0.09905836598021084</v>
      </c>
      <c r="E25" s="44">
        <f>F9+(C25*D25)</f>
        <v>2.757907653879429</v>
      </c>
      <c r="F25" s="32">
        <f>10^E25</f>
        <v>572.6742475641394</v>
      </c>
      <c r="G25" s="43"/>
      <c r="M25" s="21"/>
    </row>
    <row r="26" spans="1:7" ht="14.25">
      <c r="A26" s="30">
        <v>4</v>
      </c>
      <c r="B26" s="30">
        <v>50</v>
      </c>
      <c r="C26" s="32">
        <f>'Distribusi Normal'!E30</f>
        <v>2.05</v>
      </c>
      <c r="D26" s="44">
        <f>D25</f>
        <v>0.09905836598021084</v>
      </c>
      <c r="E26" s="44">
        <f>F10+(C26*D26)</f>
        <v>2.7917856150446614</v>
      </c>
      <c r="F26" s="32">
        <f>10^E26</f>
        <v>619.1353698911183</v>
      </c>
      <c r="G26" s="43"/>
    </row>
    <row r="27" spans="1:7" ht="14.25">
      <c r="A27" s="12">
        <v>5</v>
      </c>
      <c r="B27" s="12">
        <v>100</v>
      </c>
      <c r="C27" s="34">
        <f>'Distribusi Normal'!E31</f>
        <v>2.33</v>
      </c>
      <c r="D27" s="45">
        <f>D26</f>
        <v>0.09905836598021084</v>
      </c>
      <c r="E27" s="45">
        <f>F11+(C27*D27)</f>
        <v>2.8195219575191204</v>
      </c>
      <c r="F27" s="34">
        <f>10^E27</f>
        <v>659.9666007085285</v>
      </c>
      <c r="G27" s="43"/>
    </row>
    <row r="28" ht="14.25">
      <c r="M28" s="2"/>
    </row>
  </sheetData>
  <sheetProtection/>
  <mergeCells count="16">
    <mergeCell ref="C3:C4"/>
    <mergeCell ref="D3:D4"/>
    <mergeCell ref="F3:F4"/>
    <mergeCell ref="G3:G4"/>
    <mergeCell ref="H3:H4"/>
    <mergeCell ref="I3:I4"/>
    <mergeCell ref="F21:F22"/>
    <mergeCell ref="B3:B4"/>
    <mergeCell ref="E3:E4"/>
    <mergeCell ref="A3:A4"/>
    <mergeCell ref="A21:A22"/>
    <mergeCell ref="B21:B22"/>
    <mergeCell ref="C21:C22"/>
    <mergeCell ref="D21:D22"/>
    <mergeCell ref="E21:E22"/>
    <mergeCell ref="A15:B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85" zoomScaleNormal="85" zoomScalePageLayoutView="0" workbookViewId="0" topLeftCell="A1">
      <selection activeCell="F20" sqref="F20"/>
    </sheetView>
  </sheetViews>
  <sheetFormatPr defaultColWidth="9.140625" defaultRowHeight="15"/>
  <cols>
    <col min="1" max="2" width="9.140625" style="11" customWidth="1"/>
    <col min="3" max="4" width="9.57421875" style="11" bestFit="1" customWidth="1"/>
    <col min="5" max="5" width="10.140625" style="11" customWidth="1"/>
    <col min="6" max="6" width="13.7109375" style="11" bestFit="1" customWidth="1"/>
    <col min="7" max="7" width="15.57421875" style="11" customWidth="1"/>
    <col min="8" max="8" width="14.7109375" style="11" customWidth="1"/>
    <col min="9" max="10" width="7.57421875" style="11" customWidth="1"/>
    <col min="11" max="16384" width="9.140625" style="11" customWidth="1"/>
  </cols>
  <sheetData>
    <row r="1" ht="14.25">
      <c r="A1" s="11" t="s">
        <v>118</v>
      </c>
    </row>
    <row r="3" spans="1:10" ht="14.25">
      <c r="A3" s="352" t="s">
        <v>94</v>
      </c>
      <c r="B3" s="353" t="s">
        <v>99</v>
      </c>
      <c r="C3" s="359" t="s">
        <v>109</v>
      </c>
      <c r="D3" s="352" t="s">
        <v>108</v>
      </c>
      <c r="E3" s="352" t="s">
        <v>111</v>
      </c>
      <c r="F3" s="352" t="s">
        <v>117</v>
      </c>
      <c r="G3" s="352" t="s">
        <v>119</v>
      </c>
      <c r="H3" s="352" t="s">
        <v>120</v>
      </c>
      <c r="I3" s="183"/>
      <c r="J3" s="8"/>
    </row>
    <row r="4" spans="1:10" ht="14.25">
      <c r="A4" s="352"/>
      <c r="B4" s="353"/>
      <c r="C4" s="359"/>
      <c r="D4" s="352"/>
      <c r="E4" s="352"/>
      <c r="F4" s="352"/>
      <c r="G4" s="352"/>
      <c r="H4" s="352"/>
      <c r="I4" s="183"/>
      <c r="J4" s="8"/>
    </row>
    <row r="5" spans="1:10" ht="14.25">
      <c r="A5" s="28">
        <v>1</v>
      </c>
      <c r="B5" s="197">
        <v>2010</v>
      </c>
      <c r="C5" s="229">
        <f>'Distribusi Normal'!C7:D7</f>
        <v>628</v>
      </c>
      <c r="D5" s="41">
        <f aca="true" t="shared" si="0" ref="D5:D14">LOG(C5)</f>
        <v>2.797959643737196</v>
      </c>
      <c r="E5" s="41">
        <f>AVERAGE(D5:D14)</f>
        <v>2.588715964785229</v>
      </c>
      <c r="F5" s="41">
        <f>D5-E5</f>
        <v>0.20924367895196694</v>
      </c>
      <c r="G5" s="41">
        <f aca="true" t="shared" si="1" ref="G5:G14">F5^2</f>
        <v>0.04378291718135381</v>
      </c>
      <c r="H5" s="41">
        <f>F5^3</f>
        <v>0.009161298666275753</v>
      </c>
      <c r="I5" s="183"/>
      <c r="J5" s="8"/>
    </row>
    <row r="6" spans="1:10" ht="14.25">
      <c r="A6" s="30">
        <v>2</v>
      </c>
      <c r="B6" s="117">
        <v>2011</v>
      </c>
      <c r="C6" s="230">
        <f>'Distribusi Normal'!C8:D8</f>
        <v>441</v>
      </c>
      <c r="D6" s="39">
        <f t="shared" si="0"/>
        <v>2.6444385894678386</v>
      </c>
      <c r="E6" s="39">
        <f>E5</f>
        <v>2.588715964785229</v>
      </c>
      <c r="F6" s="32">
        <f aca="true" t="shared" si="2" ref="F6:F14">D6-E6</f>
        <v>0.05572262468260947</v>
      </c>
      <c r="G6" s="39">
        <f t="shared" si="1"/>
        <v>0.0031050109015189576</v>
      </c>
      <c r="H6" s="39">
        <f aca="true" t="shared" si="3" ref="H6:H14">F6^3</f>
        <v>0.00017301935710075175</v>
      </c>
      <c r="I6" s="183"/>
      <c r="J6" s="8"/>
    </row>
    <row r="7" spans="1:10" ht="14.25">
      <c r="A7" s="30">
        <v>3</v>
      </c>
      <c r="B7" s="117">
        <v>2012</v>
      </c>
      <c r="C7" s="233">
        <f>'Distribusi Normal'!C9:D9</f>
        <v>337</v>
      </c>
      <c r="D7" s="39">
        <f t="shared" si="0"/>
        <v>2.5276299008713385</v>
      </c>
      <c r="E7" s="39">
        <f aca="true" t="shared" si="4" ref="E7:E14">E6</f>
        <v>2.588715964785229</v>
      </c>
      <c r="F7" s="32">
        <f t="shared" si="2"/>
        <v>-0.0610860639138906</v>
      </c>
      <c r="G7" s="39">
        <f t="shared" si="1"/>
        <v>0.003731507204491927</v>
      </c>
      <c r="H7" s="39">
        <f t="shared" si="3"/>
        <v>-0.00022794308758873708</v>
      </c>
      <c r="I7" s="183"/>
      <c r="J7" s="8"/>
    </row>
    <row r="8" spans="1:10" ht="14.25">
      <c r="A8" s="30">
        <v>4</v>
      </c>
      <c r="B8" s="117">
        <v>2013</v>
      </c>
      <c r="C8" s="230">
        <f>'Distribusi Normal'!C10:D10</f>
        <v>321</v>
      </c>
      <c r="D8" s="39">
        <f t="shared" si="0"/>
        <v>2.506505032404872</v>
      </c>
      <c r="E8" s="39">
        <f t="shared" si="4"/>
        <v>2.588715964785229</v>
      </c>
      <c r="F8" s="32">
        <f t="shared" si="2"/>
        <v>-0.08221093238035726</v>
      </c>
      <c r="G8" s="39">
        <f t="shared" si="1"/>
        <v>0.006758637402847674</v>
      </c>
      <c r="H8" s="39">
        <f t="shared" si="3"/>
        <v>-0.0005556338825088636</v>
      </c>
      <c r="I8" s="183"/>
      <c r="J8" s="8"/>
    </row>
    <row r="9" spans="1:10" ht="14.25">
      <c r="A9" s="30">
        <v>5</v>
      </c>
      <c r="B9" s="117">
        <v>2014</v>
      </c>
      <c r="C9" s="230">
        <f>'Distribusi Normal'!C11:D11</f>
        <v>302</v>
      </c>
      <c r="D9" s="39">
        <f t="shared" si="0"/>
        <v>2.4800069429571505</v>
      </c>
      <c r="E9" s="39">
        <f t="shared" si="4"/>
        <v>2.588715964785229</v>
      </c>
      <c r="F9" s="32">
        <f t="shared" si="2"/>
        <v>-0.10870902182807862</v>
      </c>
      <c r="G9" s="39">
        <f t="shared" si="1"/>
        <v>0.011817651426817675</v>
      </c>
      <c r="H9" s="39">
        <f t="shared" si="3"/>
        <v>-0.0012846853269145471</v>
      </c>
      <c r="I9" s="183"/>
      <c r="J9" s="8"/>
    </row>
    <row r="10" spans="1:10" ht="14.25">
      <c r="A10" s="30">
        <v>6</v>
      </c>
      <c r="B10" s="117">
        <v>2015</v>
      </c>
      <c r="C10" s="230">
        <f>'Distribusi Normal'!C12:D12</f>
        <v>350</v>
      </c>
      <c r="D10" s="39">
        <f t="shared" si="0"/>
        <v>2.5440680443502757</v>
      </c>
      <c r="E10" s="39">
        <f t="shared" si="4"/>
        <v>2.588715964785229</v>
      </c>
      <c r="F10" s="32">
        <f t="shared" si="2"/>
        <v>-0.04464792043495347</v>
      </c>
      <c r="G10" s="39">
        <f t="shared" si="1"/>
        <v>0.0019934367991659356</v>
      </c>
      <c r="H10" s="39">
        <f t="shared" si="3"/>
        <v>-8.900280760126901E-05</v>
      </c>
      <c r="I10" s="183"/>
      <c r="J10" s="8"/>
    </row>
    <row r="11" spans="1:10" ht="14.25">
      <c r="A11" s="30">
        <v>7</v>
      </c>
      <c r="B11" s="117">
        <v>2016</v>
      </c>
      <c r="C11" s="230">
        <f>'Distribusi Normal'!C13:D13</f>
        <v>433</v>
      </c>
      <c r="D11" s="39">
        <f t="shared" si="0"/>
        <v>2.6364878963533656</v>
      </c>
      <c r="E11" s="39">
        <f t="shared" si="4"/>
        <v>2.588715964785229</v>
      </c>
      <c r="F11" s="32">
        <f t="shared" si="2"/>
        <v>0.047771931568136417</v>
      </c>
      <c r="G11" s="39">
        <f t="shared" si="1"/>
        <v>0.002282157445750709</v>
      </c>
      <c r="H11" s="39">
        <f t="shared" si="3"/>
        <v>0.00010902306932611586</v>
      </c>
      <c r="I11" s="183"/>
      <c r="J11" s="8"/>
    </row>
    <row r="12" spans="1:10" ht="14.25">
      <c r="A12" s="30">
        <v>8</v>
      </c>
      <c r="B12" s="117">
        <v>2017</v>
      </c>
      <c r="C12" s="230">
        <f>'Distribusi Normal'!C14:D14</f>
        <v>481</v>
      </c>
      <c r="D12" s="39">
        <f t="shared" si="0"/>
        <v>2.682145076373832</v>
      </c>
      <c r="E12" s="39">
        <f t="shared" si="4"/>
        <v>2.588715964785229</v>
      </c>
      <c r="F12" s="32">
        <f t="shared" si="2"/>
        <v>0.09342911158860279</v>
      </c>
      <c r="G12" s="39">
        <f t="shared" si="1"/>
        <v>0.008728998892235591</v>
      </c>
      <c r="H12" s="39">
        <f t="shared" si="3"/>
        <v>0.0008155426115594691</v>
      </c>
      <c r="I12" s="183"/>
      <c r="J12" s="8"/>
    </row>
    <row r="13" spans="1:10" ht="14.25">
      <c r="A13" s="30">
        <v>9</v>
      </c>
      <c r="B13" s="117">
        <v>2018</v>
      </c>
      <c r="C13" s="230">
        <f>'Distribusi Normal'!C15:D15</f>
        <v>336</v>
      </c>
      <c r="D13" s="39">
        <f t="shared" si="0"/>
        <v>2.526339277389844</v>
      </c>
      <c r="E13" s="39">
        <f t="shared" si="4"/>
        <v>2.588715964785229</v>
      </c>
      <c r="F13" s="32">
        <f t="shared" si="2"/>
        <v>-0.062376687395385044</v>
      </c>
      <c r="G13" s="39">
        <f t="shared" si="1"/>
        <v>0.0038908511304215875</v>
      </c>
      <c r="H13" s="39">
        <f t="shared" si="3"/>
        <v>-0.00024269840466428788</v>
      </c>
      <c r="I13" s="183"/>
      <c r="J13" s="8"/>
    </row>
    <row r="14" spans="1:10" ht="14.25">
      <c r="A14" s="12">
        <v>10</v>
      </c>
      <c r="B14" s="198">
        <v>2019</v>
      </c>
      <c r="C14" s="231">
        <f>'Distribusi Normal'!C16:D16</f>
        <v>348</v>
      </c>
      <c r="D14" s="42">
        <f t="shared" si="0"/>
        <v>2.5415792439465807</v>
      </c>
      <c r="E14" s="42">
        <f t="shared" si="4"/>
        <v>2.588715964785229</v>
      </c>
      <c r="F14" s="34">
        <f t="shared" si="2"/>
        <v>-0.047136720838648394</v>
      </c>
      <c r="G14" s="42">
        <f t="shared" si="1"/>
        <v>0.00222187045142067</v>
      </c>
      <c r="H14" s="42">
        <f t="shared" si="3"/>
        <v>-0.0001047316872082578</v>
      </c>
      <c r="I14" s="183"/>
      <c r="J14" s="8"/>
    </row>
    <row r="15" spans="1:10" ht="14.25">
      <c r="A15" s="352" t="s">
        <v>15</v>
      </c>
      <c r="B15" s="352"/>
      <c r="C15" s="232">
        <f>SUM(C5:C14)</f>
        <v>3977</v>
      </c>
      <c r="D15" s="27">
        <f>SUM(D5:D14)</f>
        <v>25.887159647852293</v>
      </c>
      <c r="E15" s="25"/>
      <c r="F15" s="27">
        <f>SUM(F5:F14)</f>
        <v>2.220446049250313E-15</v>
      </c>
      <c r="G15" s="40">
        <f>SUM(G5:G14)</f>
        <v>0.08831303883602452</v>
      </c>
      <c r="H15" s="40">
        <f>SUM(H5:H14)</f>
        <v>0.007754188507776125</v>
      </c>
      <c r="I15" s="183"/>
      <c r="J15" s="8"/>
    </row>
    <row r="18" spans="2:8" ht="14.25">
      <c r="B18" s="166" t="s">
        <v>226</v>
      </c>
      <c r="C18" s="5">
        <f>SQRT(G15/9)</f>
        <v>0.09905836598021084</v>
      </c>
      <c r="H18" s="195"/>
    </row>
    <row r="19" spans="2:5" ht="15">
      <c r="B19" s="166" t="s">
        <v>227</v>
      </c>
      <c r="C19" s="11">
        <f>(A14*H15)/(9*8*C18^3)</f>
        <v>1.1079760655687887</v>
      </c>
      <c r="D19" s="167"/>
      <c r="E19" s="162"/>
    </row>
    <row r="20" ht="14.25">
      <c r="B20" s="166"/>
    </row>
    <row r="21" ht="14.25">
      <c r="A21" s="4"/>
    </row>
    <row r="22" ht="14.25">
      <c r="A22" s="46" t="s">
        <v>122</v>
      </c>
    </row>
    <row r="24" ht="14.25">
      <c r="A24" s="11" t="s">
        <v>121</v>
      </c>
    </row>
    <row r="26" spans="1:7" ht="14.25">
      <c r="A26" s="352" t="s">
        <v>22</v>
      </c>
      <c r="B26" s="359" t="s">
        <v>31</v>
      </c>
      <c r="C26" s="352" t="s">
        <v>111</v>
      </c>
      <c r="D26" s="352" t="s">
        <v>103</v>
      </c>
      <c r="E26" s="352" t="s">
        <v>114</v>
      </c>
      <c r="F26" s="352" t="s">
        <v>115</v>
      </c>
      <c r="G26" s="352" t="s">
        <v>104</v>
      </c>
    </row>
    <row r="27" spans="1:7" ht="14.25">
      <c r="A27" s="352"/>
      <c r="B27" s="359"/>
      <c r="C27" s="352"/>
      <c r="D27" s="352"/>
      <c r="E27" s="352"/>
      <c r="F27" s="352"/>
      <c r="G27" s="352"/>
    </row>
    <row r="28" spans="1:7" ht="14.25">
      <c r="A28" s="30">
        <v>1</v>
      </c>
      <c r="B28" s="30">
        <v>5</v>
      </c>
      <c r="C28" s="44">
        <f>E6</f>
        <v>2.588715964785229</v>
      </c>
      <c r="D28" s="14">
        <f>'Tabel Hidrologi'!E174</f>
        <v>0.856</v>
      </c>
      <c r="E28" s="48">
        <f>C18</f>
        <v>0.09905836598021084</v>
      </c>
      <c r="F28" s="39">
        <f>C28+(D28*E28)</f>
        <v>2.6735099260642894</v>
      </c>
      <c r="G28" s="47">
        <f>10^F28</f>
        <v>471.53064833279035</v>
      </c>
    </row>
    <row r="29" spans="1:18" ht="14.25">
      <c r="A29" s="30">
        <v>2</v>
      </c>
      <c r="B29" s="30">
        <v>20</v>
      </c>
      <c r="C29" s="44">
        <f>E8</f>
        <v>2.588715964785229</v>
      </c>
      <c r="D29" s="111">
        <f>'Tabel Hidrologi'!G174</f>
        <v>1.45</v>
      </c>
      <c r="E29" s="48">
        <f>E28</f>
        <v>0.09905836598021084</v>
      </c>
      <c r="F29" s="39">
        <f>C29+(D29*E29)</f>
        <v>2.732350595456535</v>
      </c>
      <c r="G29" s="47">
        <f>10^F29</f>
        <v>539.9463322686355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4.25">
      <c r="A30" s="30">
        <v>3</v>
      </c>
      <c r="B30" s="30">
        <v>25</v>
      </c>
      <c r="C30" s="44">
        <f>E9</f>
        <v>2.588715964785229</v>
      </c>
      <c r="D30" s="111">
        <f>'Tabel Hidrologi'!H174</f>
        <v>1.567</v>
      </c>
      <c r="E30" s="48">
        <f>E29</f>
        <v>0.09905836598021084</v>
      </c>
      <c r="F30" s="39">
        <f>C30+(D30*E30)</f>
        <v>2.7439404242762193</v>
      </c>
      <c r="G30" s="47">
        <f>10^F30</f>
        <v>554.549635633835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4.25">
      <c r="A31" s="30">
        <v>4</v>
      </c>
      <c r="B31" s="30">
        <v>50</v>
      </c>
      <c r="C31" s="44">
        <f>E10</f>
        <v>2.588715964785229</v>
      </c>
      <c r="D31" s="111">
        <f>'Tabel Hidrologi'!I174</f>
        <v>1.777</v>
      </c>
      <c r="E31" s="48">
        <f>E30</f>
        <v>0.09905836598021084</v>
      </c>
      <c r="F31" s="39">
        <f>C31+(D31*E31)</f>
        <v>2.7647426811320637</v>
      </c>
      <c r="G31" s="47">
        <f>10^F31</f>
        <v>581.7584245902478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4.25">
      <c r="A32" s="12">
        <v>5</v>
      </c>
      <c r="B32" s="12">
        <v>100</v>
      </c>
      <c r="C32" s="45">
        <f>E11</f>
        <v>2.588715964785229</v>
      </c>
      <c r="D32" s="112">
        <f>'Tabel Hidrologi'!J174</f>
        <v>1.955</v>
      </c>
      <c r="E32" s="49">
        <f>E31</f>
        <v>0.09905836598021084</v>
      </c>
      <c r="F32" s="42">
        <f>C32+(D32*E32)</f>
        <v>2.7823750702765415</v>
      </c>
      <c r="G32" s="50">
        <f>10^F32</f>
        <v>605.8638918511289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8:18" ht="14.25">
      <c r="H33" s="2"/>
      <c r="J33" s="13"/>
      <c r="K33" s="13"/>
      <c r="L33" s="13"/>
      <c r="M33" s="13"/>
      <c r="N33" s="13"/>
      <c r="O33" s="13"/>
      <c r="P33" s="13"/>
      <c r="Q33" s="13"/>
      <c r="R33" s="13"/>
    </row>
    <row r="34" ht="14.25">
      <c r="H34" s="2"/>
    </row>
  </sheetData>
  <sheetProtection/>
  <mergeCells count="16">
    <mergeCell ref="A3:A4"/>
    <mergeCell ref="B3:B4"/>
    <mergeCell ref="C3:C4"/>
    <mergeCell ref="G26:G27"/>
    <mergeCell ref="A15:B15"/>
    <mergeCell ref="F3:F4"/>
    <mergeCell ref="G3:G4"/>
    <mergeCell ref="A26:A27"/>
    <mergeCell ref="B26:B27"/>
    <mergeCell ref="D26:D27"/>
    <mergeCell ref="C26:C27"/>
    <mergeCell ref="E26:E27"/>
    <mergeCell ref="F26:F27"/>
    <mergeCell ref="D3:D4"/>
    <mergeCell ref="E3:E4"/>
    <mergeCell ref="H3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1">
      <selection activeCell="A34" sqref="A34"/>
    </sheetView>
  </sheetViews>
  <sheetFormatPr defaultColWidth="9.140625" defaultRowHeight="15"/>
  <cols>
    <col min="1" max="1" width="4.8515625" style="1" customWidth="1"/>
    <col min="2" max="2" width="13.140625" style="9" customWidth="1"/>
    <col min="3" max="3" width="6.00390625" style="9" customWidth="1"/>
    <col min="4" max="4" width="8.421875" style="9" customWidth="1"/>
    <col min="5" max="5" width="9.421875" style="9" bestFit="1" customWidth="1"/>
    <col min="6" max="6" width="9.140625" style="9" customWidth="1"/>
    <col min="7" max="7" width="10.7109375" style="9" bestFit="1" customWidth="1"/>
    <col min="8" max="8" width="11.00390625" style="9" bestFit="1" customWidth="1"/>
    <col min="9" max="13" width="9.140625" style="9" customWidth="1"/>
    <col min="14" max="14" width="12.421875" style="9" bestFit="1" customWidth="1"/>
    <col min="15" max="16384" width="9.140625" style="9" customWidth="1"/>
  </cols>
  <sheetData>
    <row r="1" ht="14.25">
      <c r="A1" s="1" t="s">
        <v>124</v>
      </c>
    </row>
    <row r="3" spans="1:7" ht="15" customHeight="1">
      <c r="A3" s="352" t="s">
        <v>94</v>
      </c>
      <c r="B3" s="359" t="s">
        <v>99</v>
      </c>
      <c r="C3" s="359" t="s">
        <v>107</v>
      </c>
      <c r="D3" s="359"/>
      <c r="E3" s="352" t="s">
        <v>95</v>
      </c>
      <c r="F3" s="352" t="s">
        <v>123</v>
      </c>
      <c r="G3" s="363" t="s">
        <v>96</v>
      </c>
    </row>
    <row r="4" spans="1:7" ht="14.25">
      <c r="A4" s="352"/>
      <c r="B4" s="359"/>
      <c r="C4" s="359"/>
      <c r="D4" s="359"/>
      <c r="E4" s="352"/>
      <c r="F4" s="352"/>
      <c r="G4" s="363"/>
    </row>
    <row r="5" spans="1:8" ht="14.25">
      <c r="A5" s="28">
        <v>1</v>
      </c>
      <c r="B5" s="197">
        <v>2010</v>
      </c>
      <c r="C5" s="357">
        <f>'Distribusi Normal'!C7:D7</f>
        <v>628</v>
      </c>
      <c r="D5" s="357"/>
      <c r="E5" s="29">
        <f>C15/COUNT(B5:B14)</f>
        <v>397.7</v>
      </c>
      <c r="F5" s="29">
        <f>C5-E5</f>
        <v>230.3</v>
      </c>
      <c r="G5" s="250">
        <f>F5^2</f>
        <v>53038.090000000004</v>
      </c>
      <c r="H5" s="162"/>
    </row>
    <row r="6" spans="1:8" ht="14.25">
      <c r="A6" s="30">
        <v>2</v>
      </c>
      <c r="B6" s="117">
        <v>2011</v>
      </c>
      <c r="C6" s="358">
        <f>'Distribusi Normal'!C8:D8</f>
        <v>441</v>
      </c>
      <c r="D6" s="358"/>
      <c r="E6" s="31">
        <f>E5</f>
        <v>397.7</v>
      </c>
      <c r="F6" s="31">
        <f aca="true" t="shared" si="0" ref="F6:F14">C6-E6</f>
        <v>43.30000000000001</v>
      </c>
      <c r="G6" s="119">
        <f aca="true" t="shared" si="1" ref="G6:G14">F6^2</f>
        <v>1874.890000000001</v>
      </c>
      <c r="H6" s="162"/>
    </row>
    <row r="7" spans="1:8" ht="14.25">
      <c r="A7" s="30">
        <v>3</v>
      </c>
      <c r="B7" s="117">
        <v>2012</v>
      </c>
      <c r="C7" s="358">
        <f>'Distribusi Normal'!C9:D9</f>
        <v>337</v>
      </c>
      <c r="D7" s="358"/>
      <c r="E7" s="31">
        <f aca="true" t="shared" si="2" ref="E7:E14">E6</f>
        <v>397.7</v>
      </c>
      <c r="F7" s="31">
        <f t="shared" si="0"/>
        <v>-60.69999999999999</v>
      </c>
      <c r="G7" s="119">
        <f t="shared" si="1"/>
        <v>3684.4899999999984</v>
      </c>
      <c r="H7" s="162"/>
    </row>
    <row r="8" spans="1:8" ht="14.25">
      <c r="A8" s="30">
        <v>4</v>
      </c>
      <c r="B8" s="117">
        <v>2013</v>
      </c>
      <c r="C8" s="358">
        <f>'Distribusi Normal'!C10:D10</f>
        <v>321</v>
      </c>
      <c r="D8" s="358"/>
      <c r="E8" s="31">
        <f t="shared" si="2"/>
        <v>397.7</v>
      </c>
      <c r="F8" s="31">
        <f t="shared" si="0"/>
        <v>-76.69999999999999</v>
      </c>
      <c r="G8" s="119">
        <f t="shared" si="1"/>
        <v>5882.8899999999985</v>
      </c>
      <c r="H8" s="162"/>
    </row>
    <row r="9" spans="1:8" ht="14.25">
      <c r="A9" s="30">
        <v>5</v>
      </c>
      <c r="B9" s="117">
        <v>2014</v>
      </c>
      <c r="C9" s="358">
        <f>'Distribusi Normal'!C11:D11</f>
        <v>302</v>
      </c>
      <c r="D9" s="358"/>
      <c r="E9" s="31">
        <f t="shared" si="2"/>
        <v>397.7</v>
      </c>
      <c r="F9" s="31">
        <f t="shared" si="0"/>
        <v>-95.69999999999999</v>
      </c>
      <c r="G9" s="119">
        <f t="shared" si="1"/>
        <v>9158.489999999998</v>
      </c>
      <c r="H9" s="162"/>
    </row>
    <row r="10" spans="1:8" ht="14.25">
      <c r="A10" s="30">
        <v>6</v>
      </c>
      <c r="B10" s="117">
        <v>2015</v>
      </c>
      <c r="C10" s="358">
        <f>'Distribusi Normal'!C12:D12</f>
        <v>350</v>
      </c>
      <c r="D10" s="358"/>
      <c r="E10" s="31">
        <f t="shared" si="2"/>
        <v>397.7</v>
      </c>
      <c r="F10" s="31">
        <f t="shared" si="0"/>
        <v>-47.69999999999999</v>
      </c>
      <c r="G10" s="119">
        <f t="shared" si="1"/>
        <v>2275.289999999999</v>
      </c>
      <c r="H10" s="162"/>
    </row>
    <row r="11" spans="1:8" ht="14.25">
      <c r="A11" s="30">
        <v>7</v>
      </c>
      <c r="B11" s="117">
        <v>2016</v>
      </c>
      <c r="C11" s="358">
        <f>'Distribusi Normal'!C13:D13</f>
        <v>433</v>
      </c>
      <c r="D11" s="358"/>
      <c r="E11" s="31">
        <f t="shared" si="2"/>
        <v>397.7</v>
      </c>
      <c r="F11" s="31">
        <f t="shared" si="0"/>
        <v>35.30000000000001</v>
      </c>
      <c r="G11" s="119">
        <f t="shared" si="1"/>
        <v>1246.0900000000008</v>
      </c>
      <c r="H11" s="162"/>
    </row>
    <row r="12" spans="1:8" ht="14.25">
      <c r="A12" s="30">
        <v>8</v>
      </c>
      <c r="B12" s="117">
        <v>2017</v>
      </c>
      <c r="C12" s="358">
        <f>'Distribusi Normal'!C14:D14</f>
        <v>481</v>
      </c>
      <c r="D12" s="358"/>
      <c r="E12" s="31">
        <f t="shared" si="2"/>
        <v>397.7</v>
      </c>
      <c r="F12" s="31">
        <f t="shared" si="0"/>
        <v>83.30000000000001</v>
      </c>
      <c r="G12" s="119">
        <f t="shared" si="1"/>
        <v>6938.890000000002</v>
      </c>
      <c r="H12" s="162"/>
    </row>
    <row r="13" spans="1:8" ht="14.25">
      <c r="A13" s="30">
        <v>9</v>
      </c>
      <c r="B13" s="117">
        <v>2018</v>
      </c>
      <c r="C13" s="358">
        <f>'Distribusi Normal'!C15:D15</f>
        <v>336</v>
      </c>
      <c r="D13" s="358"/>
      <c r="E13" s="31">
        <f t="shared" si="2"/>
        <v>397.7</v>
      </c>
      <c r="F13" s="31">
        <f t="shared" si="0"/>
        <v>-61.69999999999999</v>
      </c>
      <c r="G13" s="119">
        <f t="shared" si="1"/>
        <v>3806.8899999999985</v>
      </c>
      <c r="H13" s="162"/>
    </row>
    <row r="14" spans="1:8" ht="14.25">
      <c r="A14" s="12">
        <v>10</v>
      </c>
      <c r="B14" s="198">
        <v>2019</v>
      </c>
      <c r="C14" s="361">
        <f>'Distribusi Normal'!C16:D16</f>
        <v>348</v>
      </c>
      <c r="D14" s="361"/>
      <c r="E14" s="33">
        <f t="shared" si="2"/>
        <v>397.7</v>
      </c>
      <c r="F14" s="33">
        <f t="shared" si="0"/>
        <v>-49.69999999999999</v>
      </c>
      <c r="G14" s="120">
        <f t="shared" si="1"/>
        <v>2470.089999999999</v>
      </c>
      <c r="H14" s="162"/>
    </row>
    <row r="15" spans="1:8" ht="14.25">
      <c r="A15" s="352" t="s">
        <v>15</v>
      </c>
      <c r="B15" s="352"/>
      <c r="C15" s="356">
        <f>SUM(C5:D14)</f>
        <v>3977</v>
      </c>
      <c r="D15" s="356"/>
      <c r="E15" s="352"/>
      <c r="F15" s="352"/>
      <c r="G15" s="251">
        <f>SUM(G5:G14)</f>
        <v>90376.09999999999</v>
      </c>
      <c r="H15" s="162"/>
    </row>
    <row r="17" spans="1:2" ht="14.25">
      <c r="A17" s="52"/>
      <c r="B17" s="1"/>
    </row>
    <row r="18" spans="1:2" ht="14.25">
      <c r="A18" s="1" t="s">
        <v>23</v>
      </c>
      <c r="B18" s="1"/>
    </row>
    <row r="19" ht="14.25">
      <c r="B19" s="1"/>
    </row>
    <row r="20" ht="14.25">
      <c r="B20" s="1"/>
    </row>
    <row r="21" spans="1:5" ht="14.25">
      <c r="A21" s="1" t="s">
        <v>29</v>
      </c>
      <c r="B21" s="1"/>
      <c r="D21" s="53" t="s">
        <v>128</v>
      </c>
      <c r="E21" s="9">
        <f>COUNT(B5:B14)</f>
        <v>10</v>
      </c>
    </row>
    <row r="22" spans="1:5" ht="14.25">
      <c r="A22" s="1" t="s">
        <v>127</v>
      </c>
      <c r="B22" s="1"/>
      <c r="D22" s="53" t="s">
        <v>129</v>
      </c>
      <c r="E22" s="10">
        <f>AVERAGE(C5:D14)</f>
        <v>397.7</v>
      </c>
    </row>
    <row r="23" spans="1:7" ht="14.25">
      <c r="A23" s="1" t="s">
        <v>132</v>
      </c>
      <c r="B23" s="1"/>
      <c r="D23" s="53" t="s">
        <v>133</v>
      </c>
      <c r="E23" s="10">
        <f>STDEV(C5:D14)</f>
        <v>100.20872661045493</v>
      </c>
      <c r="G23" s="194"/>
    </row>
    <row r="24" spans="1:5" ht="14.25">
      <c r="A24" s="51" t="s">
        <v>125</v>
      </c>
      <c r="D24" s="53" t="s">
        <v>130</v>
      </c>
      <c r="E24" s="9">
        <f>'Tabel Hidrologi'!B84</f>
        <v>0.4952</v>
      </c>
    </row>
    <row r="25" spans="1:5" ht="14.25">
      <c r="A25" s="1" t="s">
        <v>126</v>
      </c>
      <c r="D25" s="53" t="s">
        <v>131</v>
      </c>
      <c r="E25" s="9">
        <f>'Tabel Hidrologi'!B98</f>
        <v>0.9496</v>
      </c>
    </row>
    <row r="26" spans="13:19" ht="14.25">
      <c r="M26" s="173"/>
      <c r="N26" s="173"/>
      <c r="O26" s="173"/>
      <c r="P26" s="173"/>
      <c r="Q26" s="173"/>
      <c r="R26" s="173"/>
      <c r="S26" s="173"/>
    </row>
    <row r="27" spans="1:19" ht="14.25">
      <c r="A27" s="352" t="s">
        <v>22</v>
      </c>
      <c r="B27" s="359" t="s">
        <v>31</v>
      </c>
      <c r="C27" s="352" t="s">
        <v>95</v>
      </c>
      <c r="D27" s="352"/>
      <c r="E27" s="364" t="s">
        <v>134</v>
      </c>
      <c r="F27" s="364" t="s">
        <v>27</v>
      </c>
      <c r="G27" s="364" t="s">
        <v>25</v>
      </c>
      <c r="H27" s="364" t="s">
        <v>26</v>
      </c>
      <c r="I27" s="368" t="s">
        <v>141</v>
      </c>
      <c r="M27" s="8"/>
      <c r="N27" s="8"/>
      <c r="O27" s="3"/>
      <c r="P27" s="3"/>
      <c r="Q27" s="3"/>
      <c r="R27" s="3"/>
      <c r="S27" s="173"/>
    </row>
    <row r="28" spans="1:19" ht="14.25">
      <c r="A28" s="352"/>
      <c r="B28" s="359"/>
      <c r="C28" s="352"/>
      <c r="D28" s="352"/>
      <c r="E28" s="365"/>
      <c r="F28" s="365"/>
      <c r="G28" s="365"/>
      <c r="H28" s="365"/>
      <c r="I28" s="369"/>
      <c r="M28" s="8"/>
      <c r="N28" s="8"/>
      <c r="O28" s="3"/>
      <c r="P28" s="3"/>
      <c r="Q28" s="3"/>
      <c r="R28" s="3"/>
      <c r="S28" s="173"/>
    </row>
    <row r="29" spans="1:19" ht="14.25">
      <c r="A29" s="30">
        <v>1</v>
      </c>
      <c r="B29" s="30">
        <v>5</v>
      </c>
      <c r="C29" s="366">
        <f>E22</f>
        <v>397.7</v>
      </c>
      <c r="D29" s="366"/>
      <c r="E29" s="160">
        <f>'Tabel Hidrologi'!D48</f>
        <v>1.5004</v>
      </c>
      <c r="F29" s="30">
        <f>E24</f>
        <v>0.4952</v>
      </c>
      <c r="G29" s="32">
        <f>E23</f>
        <v>100.20872661045493</v>
      </c>
      <c r="H29" s="30">
        <f>E25</f>
        <v>0.9496</v>
      </c>
      <c r="I29" s="114">
        <f>((E29-F29)/H29)*G29+C29</f>
        <v>503.7760446386155</v>
      </c>
      <c r="M29" s="173"/>
      <c r="N29" s="173"/>
      <c r="O29" s="173"/>
      <c r="P29" s="173"/>
      <c r="Q29" s="173"/>
      <c r="R29" s="173"/>
      <c r="S29" s="173"/>
    </row>
    <row r="30" spans="1:19" ht="14.25">
      <c r="A30" s="30">
        <v>2</v>
      </c>
      <c r="B30" s="30">
        <v>20</v>
      </c>
      <c r="C30" s="366">
        <f>C29</f>
        <v>397.7</v>
      </c>
      <c r="D30" s="366"/>
      <c r="E30" s="160">
        <f>'Tabel Hidrologi'!D51</f>
        <v>2.9709</v>
      </c>
      <c r="F30" s="30">
        <f>F29</f>
        <v>0.4952</v>
      </c>
      <c r="G30" s="32">
        <f>G29</f>
        <v>100.20872661045493</v>
      </c>
      <c r="H30" s="30">
        <f>H29</f>
        <v>0.9496</v>
      </c>
      <c r="I30" s="114">
        <f>((E30-F30)/H30)*G30+C30</f>
        <v>658.9539432071433</v>
      </c>
      <c r="M30" s="173"/>
      <c r="N30" s="173"/>
      <c r="O30" s="173"/>
      <c r="P30" s="173"/>
      <c r="Q30" s="173"/>
      <c r="R30" s="173"/>
      <c r="S30" s="173"/>
    </row>
    <row r="31" spans="1:19" ht="14.25">
      <c r="A31" s="30">
        <v>3</v>
      </c>
      <c r="B31" s="30">
        <v>25</v>
      </c>
      <c r="C31" s="366">
        <f>C30</f>
        <v>397.7</v>
      </c>
      <c r="D31" s="366"/>
      <c r="E31" s="160">
        <f>'Tabel Hidrologi'!D52</f>
        <v>3.1993</v>
      </c>
      <c r="F31" s="30">
        <f aca="true" t="shared" si="3" ref="F31:H33">F30</f>
        <v>0.4952</v>
      </c>
      <c r="G31" s="32">
        <f t="shared" si="3"/>
        <v>100.20872661045493</v>
      </c>
      <c r="H31" s="30">
        <f t="shared" si="3"/>
        <v>0.9496</v>
      </c>
      <c r="I31" s="114">
        <f>((E31-F31)/H31)*G31+C31</f>
        <v>683.0563791357743</v>
      </c>
      <c r="M31" s="173"/>
      <c r="N31" s="173"/>
      <c r="O31" s="173"/>
      <c r="P31" s="173"/>
      <c r="Q31" s="173"/>
      <c r="R31" s="173"/>
      <c r="S31" s="173"/>
    </row>
    <row r="32" spans="1:19" ht="14.25">
      <c r="A32" s="30">
        <v>4</v>
      </c>
      <c r="B32" s="30">
        <v>50</v>
      </c>
      <c r="C32" s="366">
        <f>C31</f>
        <v>397.7</v>
      </c>
      <c r="D32" s="366"/>
      <c r="E32" s="160">
        <f>'Tabel Hidrologi'!D53</f>
        <v>3.9028</v>
      </c>
      <c r="F32" s="30">
        <f t="shared" si="3"/>
        <v>0.4952</v>
      </c>
      <c r="G32" s="32">
        <f t="shared" si="3"/>
        <v>100.20872661045493</v>
      </c>
      <c r="H32" s="30">
        <f t="shared" si="3"/>
        <v>0.9496</v>
      </c>
      <c r="I32" s="114">
        <f>((E32-F32)/H32)*G32+C32</f>
        <v>757.294836560432</v>
      </c>
      <c r="M32" s="3"/>
      <c r="N32" s="3"/>
      <c r="O32" s="173"/>
      <c r="P32" s="173"/>
      <c r="Q32" s="173"/>
      <c r="R32" s="173"/>
      <c r="S32" s="173"/>
    </row>
    <row r="33" spans="1:19" ht="14.25">
      <c r="A33" s="54">
        <v>5</v>
      </c>
      <c r="B33" s="54">
        <v>100</v>
      </c>
      <c r="C33" s="367">
        <f>C32</f>
        <v>397.7</v>
      </c>
      <c r="D33" s="367"/>
      <c r="E33" s="161">
        <f>'Tabel Hidrologi'!D54</f>
        <v>4.6012</v>
      </c>
      <c r="F33" s="54">
        <f t="shared" si="3"/>
        <v>0.4952</v>
      </c>
      <c r="G33" s="34">
        <f t="shared" si="3"/>
        <v>100.20872661045493</v>
      </c>
      <c r="H33" s="54">
        <f t="shared" si="3"/>
        <v>0.9496</v>
      </c>
      <c r="I33" s="115">
        <f>((E33-F33)/H33)*G33+C33</f>
        <v>830.9951047414996</v>
      </c>
      <c r="M33" s="173"/>
      <c r="N33" s="173"/>
      <c r="O33" s="173"/>
      <c r="P33" s="173"/>
      <c r="Q33" s="173"/>
      <c r="R33" s="173"/>
      <c r="S33" s="173"/>
    </row>
    <row r="34" spans="2:19" ht="14.25">
      <c r="B34" s="1"/>
      <c r="M34" s="173"/>
      <c r="N34" s="173"/>
      <c r="O34" s="173"/>
      <c r="P34" s="173"/>
      <c r="Q34" s="173"/>
      <c r="R34" s="173"/>
      <c r="S34" s="173"/>
    </row>
    <row r="35" ht="14.25">
      <c r="B35" s="1"/>
    </row>
    <row r="36" spans="2:14" ht="14.25">
      <c r="B36" s="1"/>
      <c r="N36" s="113"/>
    </row>
    <row r="37" ht="14.25">
      <c r="B37" s="1"/>
    </row>
    <row r="38" spans="2:14" ht="14.25">
      <c r="B38" s="1"/>
      <c r="N38" s="113"/>
    </row>
    <row r="39" ht="14.25">
      <c r="B39" s="1"/>
    </row>
  </sheetData>
  <sheetProtection/>
  <mergeCells count="32">
    <mergeCell ref="I27:I28"/>
    <mergeCell ref="A27:A28"/>
    <mergeCell ref="B27:B28"/>
    <mergeCell ref="C27:D28"/>
    <mergeCell ref="C30:D30"/>
    <mergeCell ref="C31:D31"/>
    <mergeCell ref="C32:D32"/>
    <mergeCell ref="H27:H28"/>
    <mergeCell ref="G27:G28"/>
    <mergeCell ref="C33:D33"/>
    <mergeCell ref="E27:E28"/>
    <mergeCell ref="C29:D29"/>
    <mergeCell ref="E15:F15"/>
    <mergeCell ref="F27:F28"/>
    <mergeCell ref="C11:D11"/>
    <mergeCell ref="C12:D12"/>
    <mergeCell ref="C13:D13"/>
    <mergeCell ref="C14:D14"/>
    <mergeCell ref="A15:B15"/>
    <mergeCell ref="C15:D15"/>
    <mergeCell ref="C5:D5"/>
    <mergeCell ref="C6:D6"/>
    <mergeCell ref="C7:D7"/>
    <mergeCell ref="C8:D8"/>
    <mergeCell ref="C9:D9"/>
    <mergeCell ref="C10:D10"/>
    <mergeCell ref="A3:A4"/>
    <mergeCell ref="B3:B4"/>
    <mergeCell ref="C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zoomScalePageLayoutView="0" workbookViewId="0" topLeftCell="A13">
      <selection activeCell="E35" sqref="E35"/>
    </sheetView>
  </sheetViews>
  <sheetFormatPr defaultColWidth="9.140625" defaultRowHeight="15"/>
  <cols>
    <col min="1" max="1" width="4.140625" style="11" customWidth="1"/>
    <col min="2" max="2" width="10.8515625" style="11" customWidth="1"/>
    <col min="3" max="4" width="5.421875" style="15" customWidth="1"/>
    <col min="5" max="5" width="9.57421875" style="11" bestFit="1" customWidth="1"/>
    <col min="6" max="6" width="9.140625" style="11" customWidth="1"/>
    <col min="7" max="7" width="10.8515625" style="11" customWidth="1"/>
    <col min="8" max="8" width="12.57421875" style="11" customWidth="1"/>
    <col min="9" max="9" width="15.00390625" style="11" customWidth="1"/>
    <col min="10" max="17" width="9.57421875" style="11" customWidth="1"/>
    <col min="18" max="16384" width="9.140625" style="11" customWidth="1"/>
  </cols>
  <sheetData>
    <row r="1" ht="14.25">
      <c r="A1" s="11" t="s">
        <v>93</v>
      </c>
    </row>
    <row r="3" ht="14.25">
      <c r="A3" s="11" t="s">
        <v>101</v>
      </c>
    </row>
    <row r="5" spans="1:9" ht="14.25">
      <c r="A5" s="352" t="s">
        <v>94</v>
      </c>
      <c r="B5" s="353" t="s">
        <v>99</v>
      </c>
      <c r="C5" s="359" t="s">
        <v>107</v>
      </c>
      <c r="D5" s="359"/>
      <c r="E5" s="352" t="s">
        <v>95</v>
      </c>
      <c r="F5" s="352" t="s">
        <v>123</v>
      </c>
      <c r="G5" s="352" t="s">
        <v>96</v>
      </c>
      <c r="H5" s="183"/>
      <c r="I5" s="8"/>
    </row>
    <row r="6" spans="1:9" ht="14.25">
      <c r="A6" s="352"/>
      <c r="B6" s="353"/>
      <c r="C6" s="359"/>
      <c r="D6" s="359"/>
      <c r="E6" s="352"/>
      <c r="F6" s="352"/>
      <c r="G6" s="352"/>
      <c r="H6" s="183"/>
      <c r="I6" s="8"/>
    </row>
    <row r="7" spans="1:9" ht="14.25">
      <c r="A7" s="28">
        <v>1</v>
      </c>
      <c r="B7" s="197">
        <v>2010</v>
      </c>
      <c r="C7" s="357">
        <f>'CH 10 Th'!AE3</f>
        <v>628</v>
      </c>
      <c r="D7" s="357"/>
      <c r="E7" s="28">
        <f>C17/COUNT(B7:B16)</f>
        <v>397.7</v>
      </c>
      <c r="F7" s="29">
        <f aca="true" t="shared" si="0" ref="F7:F16">C7-E7</f>
        <v>230.3</v>
      </c>
      <c r="G7" s="29">
        <f>F7^2</f>
        <v>53038.090000000004</v>
      </c>
      <c r="H7" s="204"/>
      <c r="I7" s="8"/>
    </row>
    <row r="8" spans="1:13" ht="14.25">
      <c r="A8" s="30">
        <v>2</v>
      </c>
      <c r="B8" s="117">
        <v>2011</v>
      </c>
      <c r="C8" s="358">
        <f>'CH 10 Th'!AE4</f>
        <v>441</v>
      </c>
      <c r="D8" s="358"/>
      <c r="E8" s="30">
        <f>E7</f>
        <v>397.7</v>
      </c>
      <c r="F8" s="31">
        <f t="shared" si="0"/>
        <v>43.30000000000001</v>
      </c>
      <c r="G8" s="31">
        <f aca="true" t="shared" si="1" ref="G8:G16">F8^2</f>
        <v>1874.890000000001</v>
      </c>
      <c r="H8" s="204"/>
      <c r="I8" s="8"/>
      <c r="K8" s="24"/>
      <c r="L8" s="24"/>
      <c r="M8" s="24"/>
    </row>
    <row r="9" spans="1:13" ht="14.25">
      <c r="A9" s="30">
        <v>3</v>
      </c>
      <c r="B9" s="117">
        <v>2012</v>
      </c>
      <c r="C9" s="358">
        <f>'CH 10 Th'!AE5</f>
        <v>337</v>
      </c>
      <c r="D9" s="358"/>
      <c r="E9" s="30">
        <f aca="true" t="shared" si="2" ref="E9:E16">E8</f>
        <v>397.7</v>
      </c>
      <c r="F9" s="31">
        <f t="shared" si="0"/>
        <v>-60.69999999999999</v>
      </c>
      <c r="G9" s="31">
        <f t="shared" si="1"/>
        <v>3684.4899999999984</v>
      </c>
      <c r="H9" s="204"/>
      <c r="I9" s="8"/>
      <c r="K9" s="24"/>
      <c r="L9" s="24"/>
      <c r="M9" s="24"/>
    </row>
    <row r="10" spans="1:9" ht="14.25">
      <c r="A10" s="30">
        <v>4</v>
      </c>
      <c r="B10" s="117">
        <v>2013</v>
      </c>
      <c r="C10" s="358">
        <f>'CH 10 Th'!AE6</f>
        <v>321</v>
      </c>
      <c r="D10" s="358"/>
      <c r="E10" s="30">
        <f t="shared" si="2"/>
        <v>397.7</v>
      </c>
      <c r="F10" s="31">
        <f t="shared" si="0"/>
        <v>-76.69999999999999</v>
      </c>
      <c r="G10" s="31">
        <f t="shared" si="1"/>
        <v>5882.8899999999985</v>
      </c>
      <c r="H10" s="204"/>
      <c r="I10" s="8"/>
    </row>
    <row r="11" spans="1:9" ht="14.25">
      <c r="A11" s="30">
        <v>5</v>
      </c>
      <c r="B11" s="117">
        <v>2014</v>
      </c>
      <c r="C11" s="358">
        <f>'CH 10 Th'!AE7</f>
        <v>302</v>
      </c>
      <c r="D11" s="358"/>
      <c r="E11" s="30">
        <f t="shared" si="2"/>
        <v>397.7</v>
      </c>
      <c r="F11" s="31">
        <f t="shared" si="0"/>
        <v>-95.69999999999999</v>
      </c>
      <c r="G11" s="31">
        <f t="shared" si="1"/>
        <v>9158.489999999998</v>
      </c>
      <c r="H11" s="204"/>
      <c r="I11" s="8"/>
    </row>
    <row r="12" spans="1:9" ht="14.25">
      <c r="A12" s="30">
        <v>6</v>
      </c>
      <c r="B12" s="117">
        <v>2015</v>
      </c>
      <c r="C12" s="358">
        <f>'CH 10 Th'!AE8</f>
        <v>350</v>
      </c>
      <c r="D12" s="358"/>
      <c r="E12" s="30">
        <f t="shared" si="2"/>
        <v>397.7</v>
      </c>
      <c r="F12" s="31">
        <f t="shared" si="0"/>
        <v>-47.69999999999999</v>
      </c>
      <c r="G12" s="31">
        <f t="shared" si="1"/>
        <v>2275.289999999999</v>
      </c>
      <c r="H12" s="204"/>
      <c r="I12" s="8"/>
    </row>
    <row r="13" spans="1:9" ht="14.25">
      <c r="A13" s="30">
        <v>7</v>
      </c>
      <c r="B13" s="117">
        <v>2016</v>
      </c>
      <c r="C13" s="358">
        <f>'CH 10 Th'!AE9</f>
        <v>433</v>
      </c>
      <c r="D13" s="358"/>
      <c r="E13" s="30">
        <f t="shared" si="2"/>
        <v>397.7</v>
      </c>
      <c r="F13" s="31">
        <f t="shared" si="0"/>
        <v>35.30000000000001</v>
      </c>
      <c r="G13" s="31">
        <f t="shared" si="1"/>
        <v>1246.0900000000008</v>
      </c>
      <c r="H13" s="204"/>
      <c r="I13" s="8"/>
    </row>
    <row r="14" spans="1:9" ht="14.25">
      <c r="A14" s="30">
        <v>8</v>
      </c>
      <c r="B14" s="117">
        <v>2017</v>
      </c>
      <c r="C14" s="358">
        <f>'CH 10 Th'!AE10</f>
        <v>481</v>
      </c>
      <c r="D14" s="358"/>
      <c r="E14" s="30">
        <f t="shared" si="2"/>
        <v>397.7</v>
      </c>
      <c r="F14" s="31">
        <f t="shared" si="0"/>
        <v>83.30000000000001</v>
      </c>
      <c r="G14" s="31">
        <f t="shared" si="1"/>
        <v>6938.890000000002</v>
      </c>
      <c r="H14" s="204"/>
      <c r="I14" s="8"/>
    </row>
    <row r="15" spans="1:9" ht="14.25">
      <c r="A15" s="30">
        <v>9</v>
      </c>
      <c r="B15" s="117">
        <v>2018</v>
      </c>
      <c r="C15" s="358">
        <f>'CH 10 Th'!AE11</f>
        <v>336</v>
      </c>
      <c r="D15" s="358"/>
      <c r="E15" s="30">
        <f t="shared" si="2"/>
        <v>397.7</v>
      </c>
      <c r="F15" s="31">
        <f t="shared" si="0"/>
        <v>-61.69999999999999</v>
      </c>
      <c r="G15" s="31">
        <f t="shared" si="1"/>
        <v>3806.8899999999985</v>
      </c>
      <c r="H15" s="204"/>
      <c r="I15" s="8"/>
    </row>
    <row r="16" spans="1:9" ht="14.25">
      <c r="A16" s="12">
        <v>10</v>
      </c>
      <c r="B16" s="198">
        <v>2019</v>
      </c>
      <c r="C16" s="361">
        <f>'CH 10 Th'!AE12</f>
        <v>348</v>
      </c>
      <c r="D16" s="361"/>
      <c r="E16" s="12">
        <f t="shared" si="2"/>
        <v>397.7</v>
      </c>
      <c r="F16" s="33">
        <f t="shared" si="0"/>
        <v>-49.69999999999999</v>
      </c>
      <c r="G16" s="33">
        <f t="shared" si="1"/>
        <v>2470.089999999999</v>
      </c>
      <c r="H16" s="204"/>
      <c r="I16" s="8"/>
    </row>
    <row r="17" spans="1:10" ht="14.25">
      <c r="A17" s="352" t="s">
        <v>15</v>
      </c>
      <c r="B17" s="352"/>
      <c r="C17" s="356">
        <f>SUM(C7:D16)</f>
        <v>3977</v>
      </c>
      <c r="D17" s="356"/>
      <c r="E17" s="118"/>
      <c r="F17" s="118"/>
      <c r="G17" s="26">
        <f>SUM(G7:G16)</f>
        <v>90376.09999999999</v>
      </c>
      <c r="H17" s="204"/>
      <c r="I17" s="355"/>
      <c r="J17" s="355"/>
    </row>
    <row r="18" spans="3:4" ht="14.25">
      <c r="C18" s="16"/>
      <c r="D18" s="16"/>
    </row>
    <row r="19" ht="14.25">
      <c r="A19" s="11" t="s">
        <v>100</v>
      </c>
    </row>
    <row r="20" spans="2:4" ht="14.25">
      <c r="B20" s="53" t="s">
        <v>133</v>
      </c>
      <c r="C20" s="354">
        <f>SQRT(G17/(A16-1))</f>
        <v>100.20872661045487</v>
      </c>
      <c r="D20" s="354"/>
    </row>
    <row r="21" spans="2:4" ht="14.25">
      <c r="B21" s="53"/>
      <c r="C21" s="196"/>
      <c r="D21" s="196"/>
    </row>
    <row r="22" spans="1:3" ht="14.25">
      <c r="A22" s="3"/>
      <c r="B22" s="3"/>
      <c r="C22" s="3"/>
    </row>
    <row r="23" spans="1:3" ht="14.25">
      <c r="A23" s="3" t="s">
        <v>102</v>
      </c>
      <c r="B23" s="3"/>
      <c r="C23" s="3"/>
    </row>
    <row r="24" spans="1:3" ht="14.25">
      <c r="A24" s="3"/>
      <c r="B24" s="3"/>
      <c r="C24" s="3"/>
    </row>
    <row r="25" spans="1:7" ht="14.25">
      <c r="A25" s="352" t="s">
        <v>22</v>
      </c>
      <c r="B25" s="359" t="s">
        <v>31</v>
      </c>
      <c r="C25" s="352" t="s">
        <v>95</v>
      </c>
      <c r="D25" s="352"/>
      <c r="E25" s="352" t="s">
        <v>103</v>
      </c>
      <c r="F25" s="352" t="s">
        <v>25</v>
      </c>
      <c r="G25" s="352" t="s">
        <v>105</v>
      </c>
    </row>
    <row r="26" spans="1:7" ht="14.25">
      <c r="A26" s="352"/>
      <c r="B26" s="359"/>
      <c r="C26" s="352"/>
      <c r="D26" s="352"/>
      <c r="E26" s="352"/>
      <c r="F26" s="352"/>
      <c r="G26" s="352"/>
    </row>
    <row r="27" spans="1:7" ht="14.25">
      <c r="A27" s="30">
        <v>1</v>
      </c>
      <c r="B27" s="30">
        <v>5</v>
      </c>
      <c r="C27" s="360">
        <f>E7</f>
        <v>397.7</v>
      </c>
      <c r="D27" s="360"/>
      <c r="E27" s="32">
        <f>'Tabel Hidrologi'!E73</f>
        <v>0.84</v>
      </c>
      <c r="F27" s="283">
        <f>C20</f>
        <v>100.20872661045487</v>
      </c>
      <c r="G27" s="32">
        <f>C27+E27*F27</f>
        <v>481.8753303527821</v>
      </c>
    </row>
    <row r="28" spans="1:7" ht="14.25">
      <c r="A28" s="30">
        <v>2</v>
      </c>
      <c r="B28" s="30">
        <v>20</v>
      </c>
      <c r="C28" s="360">
        <f>C27</f>
        <v>397.7</v>
      </c>
      <c r="D28" s="360"/>
      <c r="E28" s="32">
        <f>'Tabel Hidrologi'!E75</f>
        <v>1.64</v>
      </c>
      <c r="F28" s="283">
        <f>F27</f>
        <v>100.20872661045487</v>
      </c>
      <c r="G28" s="32">
        <f>C28+E28*F28</f>
        <v>562.042311641146</v>
      </c>
    </row>
    <row r="29" spans="1:7" ht="14.25">
      <c r="A29" s="30">
        <v>3</v>
      </c>
      <c r="B29" s="30">
        <v>25</v>
      </c>
      <c r="C29" s="360">
        <f>C28</f>
        <v>397.7</v>
      </c>
      <c r="D29" s="360"/>
      <c r="E29" s="35">
        <f>'Tabel Hidrologi'!G75</f>
        <v>1.708</v>
      </c>
      <c r="F29" s="30">
        <f>F28</f>
        <v>100.20872661045487</v>
      </c>
      <c r="G29" s="35">
        <f>C29+E29*F29</f>
        <v>568.8565050506569</v>
      </c>
    </row>
    <row r="30" spans="1:7" ht="14.25">
      <c r="A30" s="30">
        <v>4</v>
      </c>
      <c r="B30" s="30">
        <v>50</v>
      </c>
      <c r="C30" s="360">
        <f>C29</f>
        <v>397.7</v>
      </c>
      <c r="D30" s="360"/>
      <c r="E30" s="32">
        <f>'Tabel Hidrologi'!E76</f>
        <v>2.05</v>
      </c>
      <c r="F30" s="30">
        <f>F29</f>
        <v>100.20872661045487</v>
      </c>
      <c r="G30" s="32">
        <f>C30+E30*F30</f>
        <v>603.1278895514324</v>
      </c>
    </row>
    <row r="31" spans="1:7" ht="14.25">
      <c r="A31" s="12">
        <v>5</v>
      </c>
      <c r="B31" s="12">
        <v>100</v>
      </c>
      <c r="C31" s="362">
        <f>C30</f>
        <v>397.7</v>
      </c>
      <c r="D31" s="362"/>
      <c r="E31" s="34">
        <f>'Tabel Hidrologi'!E77</f>
        <v>2.33</v>
      </c>
      <c r="F31" s="12">
        <f>F30</f>
        <v>100.20872661045487</v>
      </c>
      <c r="G31" s="34">
        <f>C31+E31*F31</f>
        <v>631.1863330023598</v>
      </c>
    </row>
  </sheetData>
  <sheetProtection/>
  <mergeCells count="31">
    <mergeCell ref="C29:D29"/>
    <mergeCell ref="C30:D30"/>
    <mergeCell ref="C31:D31"/>
    <mergeCell ref="A25:A26"/>
    <mergeCell ref="B25:B26"/>
    <mergeCell ref="C27:D27"/>
    <mergeCell ref="G25:G26"/>
    <mergeCell ref="E25:E26"/>
    <mergeCell ref="C28:D28"/>
    <mergeCell ref="C13:D13"/>
    <mergeCell ref="C14:D14"/>
    <mergeCell ref="C15:D15"/>
    <mergeCell ref="C16:D16"/>
    <mergeCell ref="F25:F26"/>
    <mergeCell ref="C25:D26"/>
    <mergeCell ref="C8:D8"/>
    <mergeCell ref="C9:D9"/>
    <mergeCell ref="C10:D10"/>
    <mergeCell ref="C5:D6"/>
    <mergeCell ref="C11:D11"/>
    <mergeCell ref="C12:D12"/>
    <mergeCell ref="E5:E6"/>
    <mergeCell ref="F5:F6"/>
    <mergeCell ref="G5:G6"/>
    <mergeCell ref="B5:B6"/>
    <mergeCell ref="C20:D20"/>
    <mergeCell ref="I17:J17"/>
    <mergeCell ref="A17:B17"/>
    <mergeCell ref="C17:D17"/>
    <mergeCell ref="A5:A6"/>
    <mergeCell ref="C7:D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18"/>
  <sheetViews>
    <sheetView zoomScale="85" zoomScaleNormal="85" zoomScalePageLayoutView="0" workbookViewId="0" topLeftCell="A43">
      <selection activeCell="A9" sqref="A9"/>
    </sheetView>
  </sheetViews>
  <sheetFormatPr defaultColWidth="9.140625" defaultRowHeight="15"/>
  <cols>
    <col min="1" max="1" width="4.421875" style="540" customWidth="1"/>
    <col min="2" max="2" width="13.421875" style="540" customWidth="1"/>
    <col min="3" max="3" width="19.57421875" style="540" bestFit="1" customWidth="1"/>
    <col min="4" max="4" width="13.7109375" style="540" customWidth="1"/>
    <col min="5" max="5" width="11.7109375" style="540" customWidth="1"/>
    <col min="6" max="7" width="12.7109375" style="540" customWidth="1"/>
    <col min="8" max="8" width="15.28125" style="540" customWidth="1"/>
    <col min="9" max="23" width="12.421875" style="540" customWidth="1"/>
    <col min="24" max="16384" width="9.140625" style="540" customWidth="1"/>
  </cols>
  <sheetData>
    <row r="1" spans="1:15" ht="15" customHeight="1">
      <c r="A1" s="537" t="s">
        <v>159</v>
      </c>
      <c r="B1" s="537"/>
      <c r="C1" s="537"/>
      <c r="D1" s="537"/>
      <c r="E1" s="537"/>
      <c r="F1" s="537"/>
      <c r="G1" s="538"/>
      <c r="H1" s="539"/>
      <c r="I1" s="539"/>
      <c r="J1" s="539"/>
      <c r="K1" s="539"/>
      <c r="L1" s="539"/>
      <c r="M1" s="539"/>
      <c r="N1" s="539"/>
      <c r="O1" s="539"/>
    </row>
    <row r="2" spans="1:15" ht="15" customHeight="1">
      <c r="A2" s="371" t="s">
        <v>22</v>
      </c>
      <c r="B2" s="371" t="s">
        <v>59</v>
      </c>
      <c r="C2" s="371" t="s">
        <v>57</v>
      </c>
      <c r="D2" s="371" t="s">
        <v>58</v>
      </c>
      <c r="E2" s="371" t="s">
        <v>142</v>
      </c>
      <c r="F2" s="371" t="s">
        <v>91</v>
      </c>
      <c r="G2" s="541"/>
      <c r="H2" s="539"/>
      <c r="I2" s="539"/>
      <c r="J2" s="539"/>
      <c r="K2" s="539"/>
      <c r="L2" s="539"/>
      <c r="M2" s="539"/>
      <c r="N2" s="539"/>
      <c r="O2" s="539"/>
    </row>
    <row r="3" spans="1:15" ht="14.25">
      <c r="A3" s="373"/>
      <c r="B3" s="373"/>
      <c r="C3" s="373"/>
      <c r="D3" s="373"/>
      <c r="E3" s="373"/>
      <c r="F3" s="373"/>
      <c r="H3" s="539"/>
      <c r="I3" s="539"/>
      <c r="J3" s="539"/>
      <c r="K3" s="539"/>
      <c r="L3" s="539"/>
      <c r="M3" s="539"/>
      <c r="N3" s="539"/>
      <c r="O3" s="539"/>
    </row>
    <row r="4" spans="1:15" ht="14.25">
      <c r="A4" s="125">
        <v>1</v>
      </c>
      <c r="B4" s="125">
        <f>'Distribusi Normal'!B27</f>
        <v>5</v>
      </c>
      <c r="C4" s="128">
        <f>'Distribusi Normal'!G27</f>
        <v>481.8753303527821</v>
      </c>
      <c r="D4" s="128">
        <f>'Log Normal'!F23</f>
        <v>469.8129593453402</v>
      </c>
      <c r="E4" s="128">
        <f>' Log Person III'!G28</f>
        <v>471.53064833279035</v>
      </c>
      <c r="F4" s="128">
        <f>'Distribusi Gumbel'!I29</f>
        <v>503.7760446386155</v>
      </c>
      <c r="H4" s="539"/>
      <c r="I4" s="539"/>
      <c r="J4" s="539"/>
      <c r="K4" s="539"/>
      <c r="L4" s="539"/>
      <c r="M4" s="539"/>
      <c r="N4" s="539"/>
      <c r="O4" s="539"/>
    </row>
    <row r="5" spans="1:15" ht="14.25">
      <c r="A5" s="125">
        <v>2</v>
      </c>
      <c r="B5" s="125">
        <f>'Distribusi Normal'!B28</f>
        <v>20</v>
      </c>
      <c r="C5" s="128">
        <f>'Distribusi Normal'!G28</f>
        <v>562.042311641146</v>
      </c>
      <c r="D5" s="128">
        <f>'Log Normal'!F24</f>
        <v>563.8605167200628</v>
      </c>
      <c r="E5" s="128">
        <f>' Log Person III'!G29</f>
        <v>539.9463322686355</v>
      </c>
      <c r="F5" s="128">
        <f>'Distribusi Gumbel'!I30</f>
        <v>658.9539432071433</v>
      </c>
      <c r="G5" s="542"/>
      <c r="H5" s="539"/>
      <c r="I5" s="539"/>
      <c r="J5" s="539"/>
      <c r="K5" s="539"/>
      <c r="L5" s="539"/>
      <c r="M5" s="539"/>
      <c r="N5" s="539"/>
      <c r="O5" s="539"/>
    </row>
    <row r="6" spans="1:8" ht="14.25">
      <c r="A6" s="125">
        <v>3</v>
      </c>
      <c r="B6" s="125">
        <f>'Distribusi Normal'!B29</f>
        <v>25</v>
      </c>
      <c r="C6" s="128">
        <f>'Distribusi Normal'!G29</f>
        <v>568.8565050506569</v>
      </c>
      <c r="D6" s="128">
        <f>'Log Normal'!F25</f>
        <v>572.6742475641394</v>
      </c>
      <c r="E6" s="128">
        <f>' Log Person III'!G30</f>
        <v>554.549635633835</v>
      </c>
      <c r="F6" s="128">
        <f>'Distribusi Gumbel'!I31</f>
        <v>683.0563791357743</v>
      </c>
      <c r="H6" s="116"/>
    </row>
    <row r="7" spans="1:8" ht="14.25">
      <c r="A7" s="125">
        <v>4</v>
      </c>
      <c r="B7" s="125">
        <f>'Distribusi Normal'!B30</f>
        <v>50</v>
      </c>
      <c r="C7" s="128">
        <f>'Distribusi Normal'!G30</f>
        <v>603.1278895514324</v>
      </c>
      <c r="D7" s="128">
        <f>'Log Normal'!F26</f>
        <v>619.1353698911183</v>
      </c>
      <c r="E7" s="128">
        <f>' Log Person III'!G31</f>
        <v>581.7584245902478</v>
      </c>
      <c r="F7" s="128">
        <f>'Distribusi Gumbel'!I32</f>
        <v>757.294836560432</v>
      </c>
      <c r="H7" s="116"/>
    </row>
    <row r="8" spans="1:8" ht="14.25">
      <c r="A8" s="126">
        <v>5</v>
      </c>
      <c r="B8" s="126">
        <f>'Distribusi Normal'!B31</f>
        <v>100</v>
      </c>
      <c r="C8" s="131">
        <f>'Distribusi Normal'!G31</f>
        <v>631.1863330023598</v>
      </c>
      <c r="D8" s="131">
        <f>'Log Normal'!F27</f>
        <v>659.9666007085285</v>
      </c>
      <c r="E8" s="131">
        <f>' Log Person III'!G32</f>
        <v>605.8638918511289</v>
      </c>
      <c r="F8" s="131">
        <f>'Distribusi Gumbel'!I33</f>
        <v>830.9951047414996</v>
      </c>
      <c r="H8" s="116"/>
    </row>
    <row r="9" ht="14.25">
      <c r="S9" s="539"/>
    </row>
    <row r="10" spans="1:19" ht="14.25">
      <c r="A10" s="540" t="s">
        <v>143</v>
      </c>
      <c r="J10" s="540" t="s">
        <v>229</v>
      </c>
      <c r="S10" s="539"/>
    </row>
    <row r="11" ht="14.25">
      <c r="S11" s="539"/>
    </row>
    <row r="12" spans="1:19" ht="15" customHeight="1">
      <c r="A12" s="543" t="s">
        <v>94</v>
      </c>
      <c r="B12" s="544" t="s">
        <v>99</v>
      </c>
      <c r="C12" s="469" t="s">
        <v>426</v>
      </c>
      <c r="D12" s="543" t="s">
        <v>95</v>
      </c>
      <c r="E12" s="383" t="s">
        <v>427</v>
      </c>
      <c r="F12" s="383" t="s">
        <v>96</v>
      </c>
      <c r="G12" s="383" t="s">
        <v>97</v>
      </c>
      <c r="H12" s="393" t="s">
        <v>98</v>
      </c>
      <c r="J12" s="398" t="s">
        <v>94</v>
      </c>
      <c r="K12" s="544" t="s">
        <v>99</v>
      </c>
      <c r="L12" s="545" t="s">
        <v>173</v>
      </c>
      <c r="M12" s="543" t="s">
        <v>428</v>
      </c>
      <c r="N12" s="543" t="s">
        <v>111</v>
      </c>
      <c r="O12" s="545" t="s">
        <v>117</v>
      </c>
      <c r="P12" s="545" t="s">
        <v>119</v>
      </c>
      <c r="Q12" s="545" t="s">
        <v>120</v>
      </c>
      <c r="R12" s="470" t="s">
        <v>146</v>
      </c>
      <c r="S12" s="539"/>
    </row>
    <row r="13" spans="1:19" ht="14.25">
      <c r="A13" s="543"/>
      <c r="B13" s="544"/>
      <c r="C13" s="546"/>
      <c r="D13" s="543"/>
      <c r="E13" s="385"/>
      <c r="F13" s="385"/>
      <c r="G13" s="385"/>
      <c r="H13" s="394"/>
      <c r="J13" s="398"/>
      <c r="K13" s="544"/>
      <c r="L13" s="545"/>
      <c r="M13" s="543"/>
      <c r="N13" s="543"/>
      <c r="O13" s="545"/>
      <c r="P13" s="545"/>
      <c r="Q13" s="545"/>
      <c r="R13" s="547"/>
      <c r="S13" s="539"/>
    </row>
    <row r="14" spans="1:19" ht="14.25">
      <c r="A14" s="158">
        <v>1</v>
      </c>
      <c r="B14" s="158">
        <v>2010</v>
      </c>
      <c r="C14" s="548">
        <f>'Distribusi Normal'!C7</f>
        <v>628</v>
      </c>
      <c r="D14" s="548">
        <f>'Distribusi Normal'!E7</f>
        <v>397.7</v>
      </c>
      <c r="E14" s="549">
        <f>C14-D14</f>
        <v>230.3</v>
      </c>
      <c r="F14" s="549">
        <f>E14^2</f>
        <v>53038.090000000004</v>
      </c>
      <c r="G14" s="548">
        <f>E14^3</f>
        <v>12214672.127000002</v>
      </c>
      <c r="H14" s="550">
        <f>E14^4</f>
        <v>2813038990.8481</v>
      </c>
      <c r="J14" s="281">
        <v>1</v>
      </c>
      <c r="K14" s="158">
        <f>B14</f>
        <v>2010</v>
      </c>
      <c r="L14" s="548">
        <f>' Log Person III'!C5</f>
        <v>628</v>
      </c>
      <c r="M14" s="551">
        <f aca="true" t="shared" si="0" ref="M14:M23">LOG(L14)</f>
        <v>2.797959643737196</v>
      </c>
      <c r="N14" s="551">
        <f>AVERAGE(M14:M23)</f>
        <v>2.588715964785229</v>
      </c>
      <c r="O14" s="551">
        <f>M14-N14</f>
        <v>0.20924367895196694</v>
      </c>
      <c r="P14" s="551">
        <f aca="true" t="shared" si="1" ref="P14:P23">O14^2</f>
        <v>0.04378291718135381</v>
      </c>
      <c r="Q14" s="551">
        <f>O14^3</f>
        <v>0.009161298666275753</v>
      </c>
      <c r="R14" s="552">
        <f>O14^4</f>
        <v>0.0019169438369092868</v>
      </c>
      <c r="S14" s="539"/>
    </row>
    <row r="15" spans="1:19" ht="14.25">
      <c r="A15" s="121">
        <v>2</v>
      </c>
      <c r="B15" s="121">
        <v>2011</v>
      </c>
      <c r="C15" s="256">
        <f>'Distribusi Normal'!C8</f>
        <v>441</v>
      </c>
      <c r="D15" s="256">
        <f>'Distribusi Normal'!E8</f>
        <v>397.7</v>
      </c>
      <c r="E15" s="146">
        <f aca="true" t="shared" si="2" ref="E15:E23">C15-D15</f>
        <v>43.30000000000001</v>
      </c>
      <c r="F15" s="146">
        <f aca="true" t="shared" si="3" ref="F15:F23">E15^2</f>
        <v>1874.890000000001</v>
      </c>
      <c r="G15" s="256">
        <f aca="true" t="shared" si="4" ref="G15:G23">E15^3</f>
        <v>81182.73700000007</v>
      </c>
      <c r="H15" s="553">
        <f aca="true" t="shared" si="5" ref="H15:H23">E15^4</f>
        <v>3515212.5121000037</v>
      </c>
      <c r="J15" s="159">
        <v>2</v>
      </c>
      <c r="K15" s="121">
        <f aca="true" t="shared" si="6" ref="K15:K23">B15</f>
        <v>2011</v>
      </c>
      <c r="L15" s="256">
        <f>' Log Person III'!C6</f>
        <v>441</v>
      </c>
      <c r="M15" s="116">
        <f t="shared" si="0"/>
        <v>2.6444385894678386</v>
      </c>
      <c r="N15" s="116">
        <f>N14</f>
        <v>2.588715964785229</v>
      </c>
      <c r="O15" s="116">
        <f aca="true" t="shared" si="7" ref="O15:O23">M15-N15</f>
        <v>0.05572262468260947</v>
      </c>
      <c r="P15" s="116">
        <f t="shared" si="1"/>
        <v>0.0031050109015189576</v>
      </c>
      <c r="Q15" s="116">
        <f aca="true" t="shared" si="8" ref="Q15:Q23">O15^3</f>
        <v>0.00017301935710075175</v>
      </c>
      <c r="R15" s="554">
        <f aca="true" t="shared" si="9" ref="R15:R23">O15^4</f>
        <v>9.64109269855157E-06</v>
      </c>
      <c r="S15" s="539"/>
    </row>
    <row r="16" spans="1:19" ht="14.25">
      <c r="A16" s="121">
        <v>3</v>
      </c>
      <c r="B16" s="121">
        <v>2012</v>
      </c>
      <c r="C16" s="256">
        <f>'Distribusi Normal'!C9</f>
        <v>337</v>
      </c>
      <c r="D16" s="256">
        <f>'Distribusi Normal'!E9</f>
        <v>397.7</v>
      </c>
      <c r="E16" s="146">
        <f t="shared" si="2"/>
        <v>-60.69999999999999</v>
      </c>
      <c r="F16" s="146">
        <f t="shared" si="3"/>
        <v>3684.4899999999984</v>
      </c>
      <c r="G16" s="256">
        <f t="shared" si="4"/>
        <v>-223648.54299999986</v>
      </c>
      <c r="H16" s="553">
        <f t="shared" si="5"/>
        <v>13575466.56009999</v>
      </c>
      <c r="J16" s="159">
        <v>3</v>
      </c>
      <c r="K16" s="121">
        <f t="shared" si="6"/>
        <v>2012</v>
      </c>
      <c r="L16" s="256">
        <f>' Log Person III'!C7</f>
        <v>337</v>
      </c>
      <c r="M16" s="116">
        <f t="shared" si="0"/>
        <v>2.5276299008713385</v>
      </c>
      <c r="N16" s="116">
        <f>N15</f>
        <v>2.588715964785229</v>
      </c>
      <c r="O16" s="116">
        <f t="shared" si="7"/>
        <v>-0.0610860639138906</v>
      </c>
      <c r="P16" s="116">
        <f t="shared" si="1"/>
        <v>0.003731507204491927</v>
      </c>
      <c r="Q16" s="116">
        <f t="shared" si="8"/>
        <v>-0.00022794308758873708</v>
      </c>
      <c r="R16" s="554">
        <f t="shared" si="9"/>
        <v>1.3924146017175157E-05</v>
      </c>
      <c r="S16" s="539"/>
    </row>
    <row r="17" spans="1:19" ht="14.25">
      <c r="A17" s="121">
        <v>4</v>
      </c>
      <c r="B17" s="121">
        <v>2013</v>
      </c>
      <c r="C17" s="256">
        <f>'Distribusi Normal'!C10</f>
        <v>321</v>
      </c>
      <c r="D17" s="256">
        <f>'Distribusi Normal'!E10</f>
        <v>397.7</v>
      </c>
      <c r="E17" s="146">
        <f>C17-D17</f>
        <v>-76.69999999999999</v>
      </c>
      <c r="F17" s="146">
        <f t="shared" si="3"/>
        <v>5882.8899999999985</v>
      </c>
      <c r="G17" s="256">
        <f t="shared" si="4"/>
        <v>-451217.6629999998</v>
      </c>
      <c r="H17" s="553">
        <f t="shared" si="5"/>
        <v>34608394.75209998</v>
      </c>
      <c r="J17" s="159">
        <v>4</v>
      </c>
      <c r="K17" s="121">
        <f t="shared" si="6"/>
        <v>2013</v>
      </c>
      <c r="L17" s="256">
        <f>' Log Person III'!C8</f>
        <v>321</v>
      </c>
      <c r="M17" s="116">
        <f t="shared" si="0"/>
        <v>2.506505032404872</v>
      </c>
      <c r="N17" s="116">
        <f aca="true" t="shared" si="10" ref="N17:N23">N16</f>
        <v>2.588715964785229</v>
      </c>
      <c r="O17" s="116">
        <f t="shared" si="7"/>
        <v>-0.08221093238035726</v>
      </c>
      <c r="P17" s="116">
        <f t="shared" si="1"/>
        <v>0.006758637402847674</v>
      </c>
      <c r="Q17" s="116">
        <f t="shared" si="8"/>
        <v>-0.0005556338825088636</v>
      </c>
      <c r="R17" s="554">
        <f t="shared" si="9"/>
        <v>4.567917954317156E-05</v>
      </c>
      <c r="S17" s="539"/>
    </row>
    <row r="18" spans="1:19" ht="14.25">
      <c r="A18" s="121">
        <v>5</v>
      </c>
      <c r="B18" s="121">
        <v>2014</v>
      </c>
      <c r="C18" s="256">
        <f>'Distribusi Normal'!C11</f>
        <v>302</v>
      </c>
      <c r="D18" s="256">
        <f>'Distribusi Normal'!E11</f>
        <v>397.7</v>
      </c>
      <c r="E18" s="146">
        <f t="shared" si="2"/>
        <v>-95.69999999999999</v>
      </c>
      <c r="F18" s="146">
        <f t="shared" si="3"/>
        <v>9158.489999999998</v>
      </c>
      <c r="G18" s="256">
        <f t="shared" si="4"/>
        <v>-876467.4929999997</v>
      </c>
      <c r="H18" s="553">
        <f t="shared" si="5"/>
        <v>83877939.08009997</v>
      </c>
      <c r="J18" s="159">
        <v>5</v>
      </c>
      <c r="K18" s="121">
        <f t="shared" si="6"/>
        <v>2014</v>
      </c>
      <c r="L18" s="256">
        <f>' Log Person III'!C9</f>
        <v>302</v>
      </c>
      <c r="M18" s="116">
        <f t="shared" si="0"/>
        <v>2.4800069429571505</v>
      </c>
      <c r="N18" s="116">
        <f t="shared" si="10"/>
        <v>2.588715964785229</v>
      </c>
      <c r="O18" s="116">
        <f t="shared" si="7"/>
        <v>-0.10870902182807862</v>
      </c>
      <c r="P18" s="116">
        <f t="shared" si="1"/>
        <v>0.011817651426817675</v>
      </c>
      <c r="Q18" s="116">
        <f t="shared" si="8"/>
        <v>-0.0012846853269145471</v>
      </c>
      <c r="R18" s="554">
        <f t="shared" si="9"/>
        <v>0.00013965688524576584</v>
      </c>
      <c r="S18" s="539"/>
    </row>
    <row r="19" spans="1:19" ht="14.25">
      <c r="A19" s="121">
        <v>6</v>
      </c>
      <c r="B19" s="121">
        <v>2015</v>
      </c>
      <c r="C19" s="256">
        <f>'Distribusi Normal'!C12</f>
        <v>350</v>
      </c>
      <c r="D19" s="256">
        <f>'Distribusi Normal'!E12</f>
        <v>397.7</v>
      </c>
      <c r="E19" s="146">
        <f t="shared" si="2"/>
        <v>-47.69999999999999</v>
      </c>
      <c r="F19" s="146">
        <f t="shared" si="3"/>
        <v>2275.289999999999</v>
      </c>
      <c r="G19" s="256">
        <f t="shared" si="4"/>
        <v>-108531.33299999993</v>
      </c>
      <c r="H19" s="553">
        <f t="shared" si="5"/>
        <v>5176944.584099996</v>
      </c>
      <c r="J19" s="159">
        <v>6</v>
      </c>
      <c r="K19" s="121">
        <f t="shared" si="6"/>
        <v>2015</v>
      </c>
      <c r="L19" s="256">
        <f>' Log Person III'!C10</f>
        <v>350</v>
      </c>
      <c r="M19" s="116">
        <f t="shared" si="0"/>
        <v>2.5440680443502757</v>
      </c>
      <c r="N19" s="116">
        <f t="shared" si="10"/>
        <v>2.588715964785229</v>
      </c>
      <c r="O19" s="116">
        <f t="shared" si="7"/>
        <v>-0.04464792043495347</v>
      </c>
      <c r="P19" s="116">
        <f t="shared" si="1"/>
        <v>0.0019934367991659356</v>
      </c>
      <c r="Q19" s="116">
        <f t="shared" si="8"/>
        <v>-8.900280760126901E-05</v>
      </c>
      <c r="R19" s="554">
        <f t="shared" si="9"/>
        <v>3.973790272268931E-06</v>
      </c>
      <c r="S19" s="539"/>
    </row>
    <row r="20" spans="1:19" ht="14.25">
      <c r="A20" s="121">
        <v>7</v>
      </c>
      <c r="B20" s="121">
        <v>2016</v>
      </c>
      <c r="C20" s="256">
        <f>'Distribusi Normal'!C13</f>
        <v>433</v>
      </c>
      <c r="D20" s="256">
        <f>'Distribusi Normal'!E13</f>
        <v>397.7</v>
      </c>
      <c r="E20" s="146">
        <f t="shared" si="2"/>
        <v>35.30000000000001</v>
      </c>
      <c r="F20" s="146">
        <f t="shared" si="3"/>
        <v>1246.0900000000008</v>
      </c>
      <c r="G20" s="256">
        <f t="shared" si="4"/>
        <v>43986.97700000004</v>
      </c>
      <c r="H20" s="553">
        <f t="shared" si="5"/>
        <v>1552740.288100002</v>
      </c>
      <c r="J20" s="159">
        <v>7</v>
      </c>
      <c r="K20" s="121">
        <f t="shared" si="6"/>
        <v>2016</v>
      </c>
      <c r="L20" s="256">
        <f>' Log Person III'!C11</f>
        <v>433</v>
      </c>
      <c r="M20" s="116">
        <f t="shared" si="0"/>
        <v>2.6364878963533656</v>
      </c>
      <c r="N20" s="116">
        <f t="shared" si="10"/>
        <v>2.588715964785229</v>
      </c>
      <c r="O20" s="116">
        <f t="shared" si="7"/>
        <v>0.047771931568136417</v>
      </c>
      <c r="P20" s="116">
        <f t="shared" si="1"/>
        <v>0.002282157445750709</v>
      </c>
      <c r="Q20" s="116">
        <f t="shared" si="8"/>
        <v>0.00010902306932611586</v>
      </c>
      <c r="R20" s="554">
        <f t="shared" si="9"/>
        <v>5.2082426071954E-06</v>
      </c>
      <c r="S20" s="539"/>
    </row>
    <row r="21" spans="1:19" ht="14.25">
      <c r="A21" s="121">
        <v>8</v>
      </c>
      <c r="B21" s="121">
        <v>2017</v>
      </c>
      <c r="C21" s="256">
        <f>'Distribusi Normal'!C14</f>
        <v>481</v>
      </c>
      <c r="D21" s="256">
        <f>'Distribusi Normal'!E14</f>
        <v>397.7</v>
      </c>
      <c r="E21" s="146">
        <f t="shared" si="2"/>
        <v>83.30000000000001</v>
      </c>
      <c r="F21" s="146">
        <f t="shared" si="3"/>
        <v>6938.890000000002</v>
      </c>
      <c r="G21" s="256">
        <f t="shared" si="4"/>
        <v>578009.5370000002</v>
      </c>
      <c r="H21" s="553">
        <f t="shared" si="5"/>
        <v>48148194.43210003</v>
      </c>
      <c r="J21" s="159">
        <v>8</v>
      </c>
      <c r="K21" s="121">
        <f t="shared" si="6"/>
        <v>2017</v>
      </c>
      <c r="L21" s="256">
        <f>' Log Person III'!C12</f>
        <v>481</v>
      </c>
      <c r="M21" s="116">
        <f t="shared" si="0"/>
        <v>2.682145076373832</v>
      </c>
      <c r="N21" s="116">
        <f t="shared" si="10"/>
        <v>2.588715964785229</v>
      </c>
      <c r="O21" s="116">
        <f t="shared" si="7"/>
        <v>0.09342911158860279</v>
      </c>
      <c r="P21" s="116">
        <f t="shared" si="1"/>
        <v>0.008728998892235591</v>
      </c>
      <c r="Q21" s="116">
        <f t="shared" si="8"/>
        <v>0.0008155426115594691</v>
      </c>
      <c r="R21" s="554">
        <f t="shared" si="9"/>
        <v>7.619542166065017E-05</v>
      </c>
      <c r="S21" s="539"/>
    </row>
    <row r="22" spans="1:19" ht="14.25">
      <c r="A22" s="121">
        <v>9</v>
      </c>
      <c r="B22" s="121">
        <v>2018</v>
      </c>
      <c r="C22" s="256">
        <f>'Distribusi Normal'!C15</f>
        <v>336</v>
      </c>
      <c r="D22" s="256">
        <f>'Distribusi Normal'!E15</f>
        <v>397.7</v>
      </c>
      <c r="E22" s="146">
        <f t="shared" si="2"/>
        <v>-61.69999999999999</v>
      </c>
      <c r="F22" s="146">
        <f t="shared" si="3"/>
        <v>3806.8899999999985</v>
      </c>
      <c r="G22" s="256">
        <f t="shared" si="4"/>
        <v>-234885.11299999987</v>
      </c>
      <c r="H22" s="553">
        <f t="shared" si="5"/>
        <v>14492411.472099988</v>
      </c>
      <c r="J22" s="159">
        <v>9</v>
      </c>
      <c r="K22" s="121">
        <f t="shared" si="6"/>
        <v>2018</v>
      </c>
      <c r="L22" s="256">
        <f>' Log Person III'!C13</f>
        <v>336</v>
      </c>
      <c r="M22" s="116">
        <f t="shared" si="0"/>
        <v>2.526339277389844</v>
      </c>
      <c r="N22" s="116">
        <f t="shared" si="10"/>
        <v>2.588715964785229</v>
      </c>
      <c r="O22" s="116">
        <f t="shared" si="7"/>
        <v>-0.062376687395385044</v>
      </c>
      <c r="P22" s="116">
        <f t="shared" si="1"/>
        <v>0.0038908511304215875</v>
      </c>
      <c r="Q22" s="116">
        <f t="shared" si="8"/>
        <v>-0.00024269840466428788</v>
      </c>
      <c r="R22" s="554">
        <f t="shared" si="9"/>
        <v>1.5138722519102945E-05</v>
      </c>
      <c r="S22" s="539"/>
    </row>
    <row r="23" spans="1:19" ht="14.25">
      <c r="A23" s="138">
        <v>10</v>
      </c>
      <c r="B23" s="138">
        <v>2019</v>
      </c>
      <c r="C23" s="555">
        <f>'Distribusi Normal'!C16</f>
        <v>348</v>
      </c>
      <c r="D23" s="555">
        <f>'Distribusi Normal'!E16</f>
        <v>397.7</v>
      </c>
      <c r="E23" s="447">
        <f t="shared" si="2"/>
        <v>-49.69999999999999</v>
      </c>
      <c r="F23" s="447">
        <f t="shared" si="3"/>
        <v>2470.089999999999</v>
      </c>
      <c r="G23" s="555">
        <f t="shared" si="4"/>
        <v>-122763.47299999991</v>
      </c>
      <c r="H23" s="556">
        <f t="shared" si="5"/>
        <v>6101344.608099994</v>
      </c>
      <c r="J23" s="282">
        <v>10</v>
      </c>
      <c r="K23" s="138">
        <f t="shared" si="6"/>
        <v>2019</v>
      </c>
      <c r="L23" s="555">
        <f>' Log Person III'!C14</f>
        <v>348</v>
      </c>
      <c r="M23" s="557">
        <f t="shared" si="0"/>
        <v>2.5415792439465807</v>
      </c>
      <c r="N23" s="557">
        <f t="shared" si="10"/>
        <v>2.588715964785229</v>
      </c>
      <c r="O23" s="557">
        <f t="shared" si="7"/>
        <v>-0.047136720838648394</v>
      </c>
      <c r="P23" s="557">
        <f t="shared" si="1"/>
        <v>0.00222187045142067</v>
      </c>
      <c r="Q23" s="557">
        <f t="shared" si="8"/>
        <v>-0.0001047316872082578</v>
      </c>
      <c r="R23" s="558">
        <f t="shared" si="9"/>
        <v>4.936708302896292E-06</v>
      </c>
      <c r="S23" s="539"/>
    </row>
    <row r="24" spans="1:19" ht="14.25">
      <c r="A24" s="543" t="s">
        <v>15</v>
      </c>
      <c r="B24" s="543"/>
      <c r="C24" s="559">
        <f>SUM(C14:C23)</f>
        <v>3977</v>
      </c>
      <c r="D24" s="560"/>
      <c r="E24" s="561"/>
      <c r="F24" s="562">
        <f>SUM(F14:F23)</f>
        <v>90376.09999999999</v>
      </c>
      <c r="G24" s="559">
        <f>SUM(G14:G23)</f>
        <v>10900337.760000004</v>
      </c>
      <c r="H24" s="563">
        <f>SUM(H14:H23)</f>
        <v>3024087639.1369996</v>
      </c>
      <c r="J24" s="398" t="s">
        <v>15</v>
      </c>
      <c r="K24" s="543"/>
      <c r="L24" s="559">
        <f>SUM(L14:L23)</f>
        <v>3977</v>
      </c>
      <c r="M24" s="564">
        <f>SUM(M14:M23)</f>
        <v>25.887159647852293</v>
      </c>
      <c r="N24" s="565"/>
      <c r="O24" s="566">
        <f>SUM(O14:O23)</f>
        <v>2.220446049250313E-15</v>
      </c>
      <c r="P24" s="566">
        <f>SUM(P14:P23)</f>
        <v>0.08831303883602452</v>
      </c>
      <c r="Q24" s="566">
        <f>SUM(Q14:Q23)</f>
        <v>0.007754188507776125</v>
      </c>
      <c r="R24" s="567">
        <f>SUM(R14:S23)</f>
        <v>0.0022312980257760645</v>
      </c>
      <c r="S24" s="539"/>
    </row>
    <row r="25" ht="14.25">
      <c r="S25" s="539"/>
    </row>
    <row r="26" ht="14.25">
      <c r="S26" s="539"/>
    </row>
    <row r="27" spans="1:19" s="569" customFormat="1" ht="14.25">
      <c r="A27" s="124" t="s">
        <v>161</v>
      </c>
      <c r="B27" s="124"/>
      <c r="C27" s="124"/>
      <c r="D27" s="124"/>
      <c r="E27" s="124"/>
      <c r="F27" s="122"/>
      <c r="G27" s="122"/>
      <c r="H27" s="122"/>
      <c r="I27" s="122"/>
      <c r="J27" s="122"/>
      <c r="K27" s="568"/>
      <c r="S27" s="539"/>
    </row>
    <row r="28" spans="1:19" ht="15" customHeight="1">
      <c r="A28" s="386" t="s">
        <v>22</v>
      </c>
      <c r="B28" s="386" t="s">
        <v>64</v>
      </c>
      <c r="C28" s="371" t="s">
        <v>144</v>
      </c>
      <c r="D28" s="124"/>
      <c r="E28" s="371" t="s">
        <v>145</v>
      </c>
      <c r="F28" s="124"/>
      <c r="G28" s="124"/>
      <c r="H28" s="124"/>
      <c r="I28" s="541"/>
      <c r="J28" s="541"/>
      <c r="K28" s="570"/>
      <c r="L28" s="570"/>
      <c r="S28" s="539"/>
    </row>
    <row r="29" spans="1:12" ht="15" customHeight="1">
      <c r="A29" s="387"/>
      <c r="B29" s="387"/>
      <c r="C29" s="372"/>
      <c r="D29" s="124"/>
      <c r="E29" s="372"/>
      <c r="F29" s="541"/>
      <c r="G29" s="541"/>
      <c r="H29" s="541"/>
      <c r="I29" s="541"/>
      <c r="L29" s="571"/>
    </row>
    <row r="30" spans="1:9" ht="14.25">
      <c r="A30" s="376"/>
      <c r="B30" s="376"/>
      <c r="C30" s="373"/>
      <c r="D30" s="124"/>
      <c r="E30" s="373"/>
      <c r="F30" s="541"/>
      <c r="G30" s="124"/>
      <c r="H30" s="572"/>
      <c r="I30" s="541"/>
    </row>
    <row r="31" spans="1:9" ht="14.25">
      <c r="A31" s="125">
        <v>1</v>
      </c>
      <c r="B31" s="125" t="s">
        <v>95</v>
      </c>
      <c r="C31" s="127">
        <f>C24/10</f>
        <v>397.7</v>
      </c>
      <c r="D31" s="124"/>
      <c r="E31" s="127">
        <f>N14</f>
        <v>2.588715964785229</v>
      </c>
      <c r="F31" s="541"/>
      <c r="G31" s="124"/>
      <c r="H31" s="573"/>
      <c r="I31" s="541"/>
    </row>
    <row r="32" spans="1:9" ht="14.25">
      <c r="A32" s="125">
        <v>2</v>
      </c>
      <c r="B32" s="125" t="s">
        <v>25</v>
      </c>
      <c r="C32" s="128">
        <f>SQRT(F24/9)</f>
        <v>100.20872661045487</v>
      </c>
      <c r="D32" s="129">
        <f>SQRT(F24/(A23-1))</f>
        <v>100.20872661045487</v>
      </c>
      <c r="E32" s="128">
        <f>SQRT(P24/9)</f>
        <v>0.09905836598021084</v>
      </c>
      <c r="F32" s="541"/>
      <c r="G32" s="541"/>
      <c r="H32" s="124"/>
      <c r="I32" s="124"/>
    </row>
    <row r="33" spans="1:9" ht="14.25">
      <c r="A33" s="125">
        <v>3</v>
      </c>
      <c r="B33" s="125" t="s">
        <v>61</v>
      </c>
      <c r="C33" s="6">
        <f>(A23*G24)/(9*8*C32^3)</f>
        <v>1.5044952765208885</v>
      </c>
      <c r="D33" s="129"/>
      <c r="E33" s="128">
        <f>(J23*R24)/(9*8*E32^3)</f>
        <v>0.3188244398793698</v>
      </c>
      <c r="F33" s="574"/>
      <c r="G33" s="541"/>
      <c r="H33" s="124"/>
      <c r="I33" s="124"/>
    </row>
    <row r="34" spans="1:9" ht="14.25">
      <c r="A34" s="125">
        <v>4</v>
      </c>
      <c r="B34" s="125" t="s">
        <v>63</v>
      </c>
      <c r="C34" s="6">
        <f>10^2*H24/(9*8*7*C32^4)</f>
        <v>5.950338369950509</v>
      </c>
      <c r="D34" s="130"/>
      <c r="E34" s="128">
        <f>(100*R24)/(9*8*7*E32^4)</f>
        <v>4.597930533529556</v>
      </c>
      <c r="F34" s="574"/>
      <c r="G34" s="541"/>
      <c r="H34" s="541"/>
      <c r="I34" s="541"/>
    </row>
    <row r="35" spans="1:9" ht="14.25">
      <c r="A35" s="125">
        <v>5</v>
      </c>
      <c r="B35" s="126" t="s">
        <v>62</v>
      </c>
      <c r="C35" s="7">
        <f>C32/C31</f>
        <v>0.2519706477507037</v>
      </c>
      <c r="D35" s="130"/>
      <c r="E35" s="131">
        <f>E32/E31</f>
        <v>0.03826544407641459</v>
      </c>
      <c r="F35" s="541"/>
      <c r="G35" s="541"/>
      <c r="H35" s="541"/>
      <c r="I35" s="541"/>
    </row>
    <row r="37" ht="14.25">
      <c r="A37" s="540" t="s">
        <v>160</v>
      </c>
    </row>
    <row r="38" spans="1:9" ht="15" customHeight="1">
      <c r="A38" s="388" t="s">
        <v>22</v>
      </c>
      <c r="B38" s="378" t="s">
        <v>56</v>
      </c>
      <c r="C38" s="379"/>
      <c r="D38" s="378" t="s">
        <v>55</v>
      </c>
      <c r="E38" s="391"/>
      <c r="F38" s="403" t="s">
        <v>54</v>
      </c>
      <c r="G38" s="388" t="s">
        <v>53</v>
      </c>
      <c r="I38" s="540" t="s">
        <v>429</v>
      </c>
    </row>
    <row r="39" spans="1:9" ht="15" customHeight="1">
      <c r="A39" s="389"/>
      <c r="B39" s="380"/>
      <c r="C39" s="381"/>
      <c r="D39" s="380"/>
      <c r="E39" s="392"/>
      <c r="F39" s="404"/>
      <c r="G39" s="389"/>
      <c r="I39" s="540" t="s">
        <v>430</v>
      </c>
    </row>
    <row r="40" spans="1:7" ht="15" customHeight="1">
      <c r="A40" s="377">
        <v>1</v>
      </c>
      <c r="B40" s="382" t="s">
        <v>52</v>
      </c>
      <c r="C40" s="383"/>
      <c r="D40" s="386" t="s">
        <v>152</v>
      </c>
      <c r="E40" s="386"/>
      <c r="F40" s="143">
        <f>C33</f>
        <v>1.5044952765208885</v>
      </c>
      <c r="G40" s="123" t="s">
        <v>92</v>
      </c>
    </row>
    <row r="41" spans="1:7" ht="15" customHeight="1">
      <c r="A41" s="377"/>
      <c r="B41" s="384"/>
      <c r="C41" s="385"/>
      <c r="D41" s="376" t="s">
        <v>148</v>
      </c>
      <c r="E41" s="376"/>
      <c r="F41" s="131">
        <f>C34</f>
        <v>5.950338369950509</v>
      </c>
      <c r="G41" s="126" t="s">
        <v>92</v>
      </c>
    </row>
    <row r="42" spans="1:10" ht="15" customHeight="1">
      <c r="A42" s="377">
        <v>2</v>
      </c>
      <c r="B42" s="382" t="s">
        <v>147</v>
      </c>
      <c r="C42" s="383"/>
      <c r="D42" s="386" t="s">
        <v>155</v>
      </c>
      <c r="E42" s="386"/>
      <c r="F42" s="143">
        <f>F40</f>
        <v>1.5044952765208885</v>
      </c>
      <c r="G42" s="125" t="s">
        <v>50</v>
      </c>
      <c r="I42" s="540" t="s">
        <v>163</v>
      </c>
      <c r="J42" s="569">
        <v>5</v>
      </c>
    </row>
    <row r="43" spans="1:7" ht="15" customHeight="1">
      <c r="A43" s="377"/>
      <c r="B43" s="384"/>
      <c r="C43" s="385"/>
      <c r="D43" s="376" t="s">
        <v>156</v>
      </c>
      <c r="E43" s="376"/>
      <c r="F43" s="131">
        <f>F41</f>
        <v>5.950338369950509</v>
      </c>
      <c r="G43" s="126" t="s">
        <v>92</v>
      </c>
    </row>
    <row r="44" spans="1:7" ht="15" customHeight="1">
      <c r="A44" s="377">
        <v>3</v>
      </c>
      <c r="B44" s="382" t="s">
        <v>51</v>
      </c>
      <c r="C44" s="383"/>
      <c r="D44" s="386" t="s">
        <v>158</v>
      </c>
      <c r="E44" s="386"/>
      <c r="F44" s="143">
        <f>E33</f>
        <v>0.3188244398793698</v>
      </c>
      <c r="G44" s="125" t="s">
        <v>50</v>
      </c>
    </row>
    <row r="45" spans="1:7" ht="15" customHeight="1">
      <c r="A45" s="377"/>
      <c r="B45" s="384"/>
      <c r="C45" s="385"/>
      <c r="D45" s="376" t="s">
        <v>157</v>
      </c>
      <c r="E45" s="376"/>
      <c r="F45" s="131">
        <f>E34</f>
        <v>4.597930533529556</v>
      </c>
      <c r="G45" s="126" t="s">
        <v>92</v>
      </c>
    </row>
    <row r="46" spans="1:7" ht="15" customHeight="1">
      <c r="A46" s="377">
        <v>4</v>
      </c>
      <c r="B46" s="382" t="s">
        <v>149</v>
      </c>
      <c r="C46" s="383"/>
      <c r="D46" s="386" t="s">
        <v>150</v>
      </c>
      <c r="E46" s="386"/>
      <c r="F46" s="143">
        <f>F44</f>
        <v>0.3188244398793698</v>
      </c>
      <c r="G46" s="125" t="s">
        <v>162</v>
      </c>
    </row>
    <row r="47" spans="1:7" ht="15" customHeight="1">
      <c r="A47" s="377"/>
      <c r="B47" s="384"/>
      <c r="C47" s="385"/>
      <c r="D47" s="376" t="s">
        <v>151</v>
      </c>
      <c r="E47" s="376"/>
      <c r="F47" s="131">
        <f>F45</f>
        <v>4.597930533529556</v>
      </c>
      <c r="G47" s="126" t="s">
        <v>162</v>
      </c>
    </row>
    <row r="48" ht="15" customHeight="1"/>
    <row r="49" spans="1:7" ht="15" customHeight="1">
      <c r="A49" s="124" t="s">
        <v>166</v>
      </c>
      <c r="B49" s="124"/>
      <c r="C49" s="124"/>
      <c r="D49" s="124"/>
      <c r="E49" s="124"/>
      <c r="F49" s="124"/>
      <c r="G49" s="124"/>
    </row>
    <row r="50" spans="1:6" ht="15" customHeight="1">
      <c r="A50" s="575" t="s">
        <v>99</v>
      </c>
      <c r="B50" s="575"/>
      <c r="C50" s="371" t="s">
        <v>168</v>
      </c>
      <c r="D50" s="386" t="s">
        <v>167</v>
      </c>
      <c r="E50" s="386" t="s">
        <v>178</v>
      </c>
      <c r="F50" s="386" t="s">
        <v>179</v>
      </c>
    </row>
    <row r="51" spans="1:6" ht="15" customHeight="1">
      <c r="A51" s="576"/>
      <c r="B51" s="576"/>
      <c r="C51" s="373"/>
      <c r="D51" s="376"/>
      <c r="E51" s="376"/>
      <c r="F51" s="376"/>
    </row>
    <row r="52" spans="1:6" ht="15" customHeight="1">
      <c r="A52" s="386">
        <v>2010</v>
      </c>
      <c r="B52" s="386"/>
      <c r="C52" s="577">
        <f>MAX(C14:C23)</f>
        <v>628</v>
      </c>
      <c r="D52" s="123">
        <v>1</v>
      </c>
      <c r="E52" s="143">
        <f>D52/(10+1)*100</f>
        <v>9.090909090909092</v>
      </c>
      <c r="F52" s="6">
        <f>E52%</f>
        <v>0.09090909090909091</v>
      </c>
    </row>
    <row r="53" spans="1:6" ht="15" customHeight="1">
      <c r="A53" s="387">
        <v>2011</v>
      </c>
      <c r="B53" s="387"/>
      <c r="C53" s="248">
        <f>C14</f>
        <v>628</v>
      </c>
      <c r="D53" s="125">
        <v>2</v>
      </c>
      <c r="E53" s="128">
        <f aca="true" t="shared" si="11" ref="E53:E61">D53/(10+1)*100</f>
        <v>18.181818181818183</v>
      </c>
      <c r="F53" s="6">
        <f>E53%</f>
        <v>0.18181818181818182</v>
      </c>
    </row>
    <row r="54" spans="1:6" ht="15" customHeight="1">
      <c r="A54" s="387">
        <v>2012</v>
      </c>
      <c r="B54" s="387"/>
      <c r="C54" s="248">
        <f>C18</f>
        <v>302</v>
      </c>
      <c r="D54" s="125">
        <v>3</v>
      </c>
      <c r="E54" s="128">
        <f t="shared" si="11"/>
        <v>27.27272727272727</v>
      </c>
      <c r="F54" s="6">
        <f aca="true" t="shared" si="12" ref="F54:F61">E54%</f>
        <v>0.2727272727272727</v>
      </c>
    </row>
    <row r="55" spans="1:6" ht="15" customHeight="1">
      <c r="A55" s="387">
        <v>2013</v>
      </c>
      <c r="B55" s="387"/>
      <c r="C55" s="248">
        <f>C23</f>
        <v>348</v>
      </c>
      <c r="D55" s="125">
        <v>4</v>
      </c>
      <c r="E55" s="128">
        <f t="shared" si="11"/>
        <v>36.36363636363637</v>
      </c>
      <c r="F55" s="6">
        <f t="shared" si="12"/>
        <v>0.36363636363636365</v>
      </c>
    </row>
    <row r="56" spans="1:6" ht="15" customHeight="1">
      <c r="A56" s="387">
        <v>2014</v>
      </c>
      <c r="B56" s="387"/>
      <c r="C56" s="248">
        <f>C15</f>
        <v>441</v>
      </c>
      <c r="D56" s="125">
        <v>5</v>
      </c>
      <c r="E56" s="128">
        <f t="shared" si="11"/>
        <v>45.45454545454545</v>
      </c>
      <c r="F56" s="6">
        <f t="shared" si="12"/>
        <v>0.45454545454545453</v>
      </c>
    </row>
    <row r="57" spans="1:6" ht="15" customHeight="1">
      <c r="A57" s="387">
        <v>2015</v>
      </c>
      <c r="B57" s="387"/>
      <c r="C57" s="248">
        <f>C20</f>
        <v>433</v>
      </c>
      <c r="D57" s="125">
        <v>6</v>
      </c>
      <c r="E57" s="128">
        <f t="shared" si="11"/>
        <v>54.54545454545454</v>
      </c>
      <c r="F57" s="6">
        <f t="shared" si="12"/>
        <v>0.5454545454545454</v>
      </c>
    </row>
    <row r="58" spans="1:6" ht="15" customHeight="1">
      <c r="A58" s="387">
        <v>2016</v>
      </c>
      <c r="B58" s="387"/>
      <c r="C58" s="248">
        <f>C19</f>
        <v>350</v>
      </c>
      <c r="D58" s="125">
        <v>7</v>
      </c>
      <c r="E58" s="128">
        <f t="shared" si="11"/>
        <v>63.63636363636363</v>
      </c>
      <c r="F58" s="6">
        <f t="shared" si="12"/>
        <v>0.6363636363636364</v>
      </c>
    </row>
    <row r="59" spans="1:6" ht="15" customHeight="1">
      <c r="A59" s="387">
        <v>2017</v>
      </c>
      <c r="B59" s="387"/>
      <c r="C59" s="248">
        <f>C21</f>
        <v>481</v>
      </c>
      <c r="D59" s="125">
        <v>8</v>
      </c>
      <c r="E59" s="128">
        <f t="shared" si="11"/>
        <v>72.72727272727273</v>
      </c>
      <c r="F59" s="6">
        <f t="shared" si="12"/>
        <v>0.7272727272727273</v>
      </c>
    </row>
    <row r="60" spans="1:6" ht="15" customHeight="1">
      <c r="A60" s="387">
        <v>2018</v>
      </c>
      <c r="B60" s="387"/>
      <c r="C60" s="248">
        <f>C22</f>
        <v>336</v>
      </c>
      <c r="D60" s="125">
        <v>9</v>
      </c>
      <c r="E60" s="128">
        <f t="shared" si="11"/>
        <v>81.81818181818183</v>
      </c>
      <c r="F60" s="6">
        <f t="shared" si="12"/>
        <v>0.8181818181818182</v>
      </c>
    </row>
    <row r="61" spans="1:6" ht="15" customHeight="1">
      <c r="A61" s="376">
        <v>2019</v>
      </c>
      <c r="B61" s="376"/>
      <c r="C61" s="249">
        <f>MIN(C14:C23)</f>
        <v>302</v>
      </c>
      <c r="D61" s="126">
        <v>10</v>
      </c>
      <c r="E61" s="131">
        <f t="shared" si="11"/>
        <v>90.9090909090909</v>
      </c>
      <c r="F61" s="7">
        <f t="shared" si="12"/>
        <v>0.9090909090909091</v>
      </c>
    </row>
    <row r="62" spans="1:6" ht="15" customHeight="1">
      <c r="A62" s="124"/>
      <c r="B62" s="124"/>
      <c r="C62" s="124"/>
      <c r="D62" s="124"/>
      <c r="F62" s="124"/>
    </row>
    <row r="63" spans="1:7" ht="15" customHeight="1">
      <c r="A63" s="124"/>
      <c r="B63" s="124"/>
      <c r="C63" s="124"/>
      <c r="D63" s="124"/>
      <c r="E63" s="124"/>
      <c r="F63" s="124"/>
      <c r="G63" s="124"/>
    </row>
    <row r="64" spans="2:22" s="121" customFormat="1" ht="15" customHeight="1">
      <c r="B64" s="133" t="s">
        <v>49</v>
      </c>
      <c r="C64" s="124" t="s">
        <v>48</v>
      </c>
      <c r="D64" s="134"/>
      <c r="E64" s="134"/>
      <c r="F64" s="135"/>
      <c r="G64" s="135"/>
      <c r="S64" s="146"/>
      <c r="T64" s="124"/>
      <c r="U64" s="124"/>
      <c r="V64" s="124"/>
    </row>
    <row r="65" spans="4:22" s="121" customFormat="1" ht="15" customHeight="1">
      <c r="D65" s="136"/>
      <c r="E65" s="136"/>
      <c r="F65" s="136"/>
      <c r="G65" s="136"/>
      <c r="H65" s="137"/>
      <c r="S65" s="124"/>
      <c r="U65" s="124"/>
      <c r="V65" s="124"/>
    </row>
    <row r="66" spans="3:22" s="121" customFormat="1" ht="15" customHeight="1">
      <c r="C66" s="136" t="s">
        <v>47</v>
      </c>
      <c r="D66" s="124"/>
      <c r="E66" s="124"/>
      <c r="F66" s="124"/>
      <c r="G66" s="124"/>
      <c r="H66" s="124"/>
      <c r="T66" s="124"/>
      <c r="U66" s="124"/>
      <c r="V66" s="124"/>
    </row>
    <row r="67" spans="2:22" s="121" customFormat="1" ht="15" customHeight="1">
      <c r="B67" s="121" t="s">
        <v>164</v>
      </c>
      <c r="C67" s="124" t="s">
        <v>46</v>
      </c>
      <c r="J67" s="122"/>
      <c r="L67" s="122"/>
      <c r="O67" s="122"/>
      <c r="S67" s="124"/>
      <c r="T67" s="147"/>
      <c r="U67" s="124"/>
      <c r="V67" s="124"/>
    </row>
    <row r="68" spans="3:21" s="121" customFormat="1" ht="15" customHeight="1">
      <c r="C68" s="121" t="s">
        <v>182</v>
      </c>
      <c r="D68" s="121" t="s">
        <v>28</v>
      </c>
      <c r="E68" s="122" t="s">
        <v>45</v>
      </c>
      <c r="F68" s="124"/>
      <c r="G68" s="121" t="s">
        <v>28</v>
      </c>
      <c r="H68" s="121">
        <f>1+(3.322*LOG(A23))</f>
        <v>4.322</v>
      </c>
      <c r="J68" s="122"/>
      <c r="R68" s="147"/>
      <c r="S68" s="124"/>
      <c r="T68" s="124"/>
      <c r="U68" s="124"/>
    </row>
    <row r="69" spans="5:21" s="121" customFormat="1" ht="15" customHeight="1">
      <c r="E69" s="122"/>
      <c r="J69" s="122"/>
      <c r="K69" s="122"/>
      <c r="R69" s="124"/>
      <c r="T69" s="124"/>
      <c r="U69" s="124"/>
    </row>
    <row r="70" spans="2:21" s="121" customFormat="1" ht="15" customHeight="1">
      <c r="B70" s="121" t="s">
        <v>19</v>
      </c>
      <c r="C70" s="122" t="s">
        <v>281</v>
      </c>
      <c r="E70" s="122"/>
      <c r="J70" s="122"/>
      <c r="K70" s="122"/>
      <c r="R70" s="124"/>
      <c r="T70" s="124"/>
      <c r="U70" s="124"/>
    </row>
    <row r="71" spans="3:21" s="121" customFormat="1" ht="15" customHeight="1">
      <c r="C71" s="122"/>
      <c r="E71" s="122"/>
      <c r="J71" s="122"/>
      <c r="K71" s="122"/>
      <c r="R71" s="124"/>
      <c r="T71" s="124"/>
      <c r="U71" s="124"/>
    </row>
    <row r="72" spans="3:21" s="121" customFormat="1" ht="15" customHeight="1">
      <c r="C72" s="121" t="s">
        <v>34</v>
      </c>
      <c r="D72" s="121" t="s">
        <v>28</v>
      </c>
      <c r="E72" s="122" t="s">
        <v>44</v>
      </c>
      <c r="F72" s="124"/>
      <c r="G72" s="121" t="s">
        <v>28</v>
      </c>
      <c r="H72" s="121">
        <f>J42-(2+1)</f>
        <v>2</v>
      </c>
      <c r="J72" s="122"/>
      <c r="S72" s="124"/>
      <c r="T72" s="124"/>
      <c r="U72" s="124"/>
    </row>
    <row r="73" spans="5:21" s="121" customFormat="1" ht="15" customHeight="1">
      <c r="E73" s="122"/>
      <c r="J73" s="122"/>
      <c r="R73" s="124"/>
      <c r="T73" s="124"/>
      <c r="U73" s="124"/>
    </row>
    <row r="74" spans="3:21" s="121" customFormat="1" ht="15" customHeight="1">
      <c r="C74" s="121" t="s">
        <v>37</v>
      </c>
      <c r="D74" s="121" t="s">
        <v>28</v>
      </c>
      <c r="E74" s="122" t="s">
        <v>43</v>
      </c>
      <c r="G74" s="121" t="s">
        <v>28</v>
      </c>
      <c r="H74" s="121">
        <f>A23/J42</f>
        <v>2</v>
      </c>
      <c r="J74" s="122"/>
      <c r="S74" s="124"/>
      <c r="T74" s="124"/>
      <c r="U74" s="124"/>
    </row>
    <row r="75" spans="5:21" s="121" customFormat="1" ht="15" customHeight="1">
      <c r="E75" s="122"/>
      <c r="J75" s="122"/>
      <c r="R75" s="124"/>
      <c r="S75" s="146"/>
      <c r="T75" s="124"/>
      <c r="U75" s="124"/>
    </row>
    <row r="76" spans="3:21" s="121" customFormat="1" ht="15" customHeight="1">
      <c r="C76" s="121" t="s">
        <v>153</v>
      </c>
      <c r="D76" s="121" t="s">
        <v>28</v>
      </c>
      <c r="E76" s="122" t="s">
        <v>42</v>
      </c>
      <c r="F76" s="124"/>
      <c r="G76" s="121" t="s">
        <v>28</v>
      </c>
      <c r="H76" s="129">
        <f>('CH 10 Th'!AE15-'CH 10 Th'!AE16)/4</f>
        <v>81.5</v>
      </c>
      <c r="J76" s="257"/>
      <c r="R76" s="146"/>
      <c r="S76" s="124"/>
      <c r="T76" s="124"/>
      <c r="U76" s="124"/>
    </row>
    <row r="77" spans="5:21" s="121" customFormat="1" ht="15" customHeight="1">
      <c r="E77" s="122"/>
      <c r="H77" s="129"/>
      <c r="J77" s="122"/>
      <c r="R77" s="124"/>
      <c r="S77" s="129"/>
      <c r="T77" s="124"/>
      <c r="U77" s="124"/>
    </row>
    <row r="78" spans="3:21" s="121" customFormat="1" ht="15" customHeight="1">
      <c r="C78" s="121" t="s">
        <v>41</v>
      </c>
      <c r="D78" s="121" t="s">
        <v>28</v>
      </c>
      <c r="E78" s="122" t="s">
        <v>154</v>
      </c>
      <c r="F78" s="124"/>
      <c r="G78" s="121" t="s">
        <v>28</v>
      </c>
      <c r="H78" s="146">
        <f>'CH 10 Th'!AE16-1/2*Rekap!H76</f>
        <v>261.25</v>
      </c>
      <c r="I78" s="256"/>
      <c r="K78" s="129"/>
      <c r="R78" s="129"/>
      <c r="S78" s="124"/>
      <c r="T78" s="124"/>
      <c r="U78" s="124"/>
    </row>
    <row r="79" spans="5:21" s="121" customFormat="1" ht="15" customHeight="1">
      <c r="E79" s="122"/>
      <c r="F79" s="124"/>
      <c r="H79" s="129"/>
      <c r="R79" s="124"/>
      <c r="S79" s="124"/>
      <c r="T79" s="124"/>
      <c r="U79" s="124"/>
    </row>
    <row r="80" spans="3:21" s="121" customFormat="1" ht="15" customHeight="1">
      <c r="C80" s="121" t="s">
        <v>40</v>
      </c>
      <c r="D80" s="121" t="s">
        <v>28</v>
      </c>
      <c r="E80" s="122" t="s">
        <v>39</v>
      </c>
      <c r="F80" s="124"/>
      <c r="G80" s="121" t="s">
        <v>28</v>
      </c>
      <c r="H80" s="129">
        <f>'CH 10 Th'!AE15+(0.5*H76)</f>
        <v>668.75</v>
      </c>
      <c r="J80" s="122"/>
      <c r="L80" s="129"/>
      <c r="R80" s="124"/>
      <c r="S80" s="124"/>
      <c r="T80" s="124"/>
      <c r="U80" s="124"/>
    </row>
    <row r="81" spans="19:22" s="121" customFormat="1" ht="15" customHeight="1">
      <c r="S81" s="124"/>
      <c r="T81" s="148"/>
      <c r="U81" s="149"/>
      <c r="V81" s="124"/>
    </row>
    <row r="82" spans="3:22" s="121" customFormat="1" ht="15" customHeight="1">
      <c r="C82" s="124" t="s">
        <v>165</v>
      </c>
      <c r="D82" s="124"/>
      <c r="E82" s="124"/>
      <c r="F82" s="124"/>
      <c r="G82" s="124"/>
      <c r="H82" s="124"/>
      <c r="I82" s="124"/>
      <c r="J82" s="124"/>
      <c r="K82" s="124"/>
      <c r="L82" s="124"/>
      <c r="Q82" s="124"/>
      <c r="R82" s="124"/>
      <c r="S82" s="124"/>
      <c r="T82" s="124"/>
      <c r="U82" s="124"/>
      <c r="V82" s="124"/>
    </row>
    <row r="83" spans="9:22" s="121" customFormat="1" ht="15" customHeight="1">
      <c r="I83" s="138"/>
      <c r="J83" s="138"/>
      <c r="K83" s="138"/>
      <c r="Q83" s="124"/>
      <c r="R83" s="124"/>
      <c r="S83" s="124"/>
      <c r="T83" s="124"/>
      <c r="U83" s="124"/>
      <c r="V83" s="124"/>
    </row>
    <row r="84" spans="3:21" s="121" customFormat="1" ht="15" customHeight="1">
      <c r="C84" s="377" t="s">
        <v>22</v>
      </c>
      <c r="D84" s="382" t="s">
        <v>38</v>
      </c>
      <c r="E84" s="383"/>
      <c r="F84" s="393"/>
      <c r="G84" s="398" t="s">
        <v>29</v>
      </c>
      <c r="H84" s="399"/>
      <c r="I84" s="400" t="s">
        <v>170</v>
      </c>
      <c r="J84" s="390" t="s">
        <v>171</v>
      </c>
      <c r="K84" s="400"/>
      <c r="L84" s="159"/>
      <c r="Q84" s="124"/>
      <c r="R84" s="124"/>
      <c r="S84" s="124"/>
      <c r="T84" s="124"/>
      <c r="U84" s="124"/>
    </row>
    <row r="85" spans="2:21" s="121" customFormat="1" ht="15" customHeight="1">
      <c r="B85" s="141"/>
      <c r="C85" s="377"/>
      <c r="D85" s="384"/>
      <c r="E85" s="385"/>
      <c r="F85" s="394"/>
      <c r="G85" s="132" t="s">
        <v>37</v>
      </c>
      <c r="H85" s="140" t="s">
        <v>36</v>
      </c>
      <c r="I85" s="394"/>
      <c r="J85" s="385"/>
      <c r="K85" s="394"/>
      <c r="Q85" s="124"/>
      <c r="R85" s="124"/>
      <c r="S85" s="124"/>
      <c r="T85" s="124"/>
      <c r="U85" s="124"/>
    </row>
    <row r="86" spans="2:20" s="121" customFormat="1" ht="15" customHeight="1">
      <c r="B86" s="141"/>
      <c r="C86" s="139">
        <v>1</v>
      </c>
      <c r="D86" s="151">
        <f>H78</f>
        <v>261.25</v>
      </c>
      <c r="E86" s="158" t="s">
        <v>35</v>
      </c>
      <c r="F86" s="154">
        <f>D86+H76</f>
        <v>342.75</v>
      </c>
      <c r="G86" s="123">
        <f>H74</f>
        <v>2</v>
      </c>
      <c r="H86" s="123">
        <v>2</v>
      </c>
      <c r="I86" s="199">
        <f>(H86-G86)^2</f>
        <v>0</v>
      </c>
      <c r="J86" s="401">
        <f>I86/G86</f>
        <v>0</v>
      </c>
      <c r="K86" s="375"/>
      <c r="Q86" s="124"/>
      <c r="R86" s="124"/>
      <c r="S86" s="124"/>
      <c r="T86" s="124"/>
    </row>
    <row r="87" spans="2:20" s="121" customFormat="1" ht="15" customHeight="1">
      <c r="B87" s="141"/>
      <c r="C87" s="141">
        <v>2</v>
      </c>
      <c r="D87" s="152">
        <f>F86</f>
        <v>342.75</v>
      </c>
      <c r="E87" s="121" t="s">
        <v>35</v>
      </c>
      <c r="F87" s="155">
        <f>D87+H76</f>
        <v>424.25</v>
      </c>
      <c r="G87" s="125">
        <f>H74</f>
        <v>2</v>
      </c>
      <c r="H87" s="125">
        <v>3</v>
      </c>
      <c r="I87" s="200">
        <f>(H87-G87)^2</f>
        <v>1</v>
      </c>
      <c r="J87" s="374">
        <f>I87/G87</f>
        <v>0.5</v>
      </c>
      <c r="K87" s="375"/>
      <c r="L87" s="146"/>
      <c r="Q87" s="124"/>
      <c r="R87" s="124"/>
      <c r="S87" s="124"/>
      <c r="T87" s="124"/>
    </row>
    <row r="88" spans="2:20" s="121" customFormat="1" ht="15" customHeight="1">
      <c r="B88" s="141"/>
      <c r="C88" s="141">
        <v>3</v>
      </c>
      <c r="D88" s="152">
        <f>F87</f>
        <v>424.25</v>
      </c>
      <c r="E88" s="121" t="s">
        <v>35</v>
      </c>
      <c r="F88" s="155">
        <f>D88+H76</f>
        <v>505.75</v>
      </c>
      <c r="G88" s="125">
        <f>G86</f>
        <v>2</v>
      </c>
      <c r="H88" s="125">
        <v>3</v>
      </c>
      <c r="I88" s="200">
        <f>(H88-G88)^2</f>
        <v>1</v>
      </c>
      <c r="J88" s="374">
        <f>I88/G88</f>
        <v>0.5</v>
      </c>
      <c r="K88" s="375"/>
      <c r="Q88" s="124"/>
      <c r="R88" s="124"/>
      <c r="S88" s="124"/>
      <c r="T88" s="124"/>
    </row>
    <row r="89" spans="2:20" s="121" customFormat="1" ht="15" customHeight="1">
      <c r="B89" s="141"/>
      <c r="C89" s="125">
        <v>4</v>
      </c>
      <c r="D89" s="152">
        <f>F88</f>
        <v>505.75</v>
      </c>
      <c r="E89" s="121" t="s">
        <v>35</v>
      </c>
      <c r="F89" s="155">
        <f>D89+H76</f>
        <v>587.25</v>
      </c>
      <c r="G89" s="125">
        <v>2</v>
      </c>
      <c r="H89" s="125">
        <v>1</v>
      </c>
      <c r="I89" s="200">
        <f>(H89-G89)^2</f>
        <v>1</v>
      </c>
      <c r="J89" s="374">
        <f>I89/G89</f>
        <v>0.5</v>
      </c>
      <c r="K89" s="375"/>
      <c r="Q89" s="124"/>
      <c r="R89" s="124"/>
      <c r="S89" s="124"/>
      <c r="T89" s="124"/>
    </row>
    <row r="90" spans="3:20" s="121" customFormat="1" ht="15" customHeight="1">
      <c r="C90" s="126">
        <v>5</v>
      </c>
      <c r="D90" s="153">
        <f>F89</f>
        <v>587.25</v>
      </c>
      <c r="E90" s="138" t="s">
        <v>35</v>
      </c>
      <c r="F90" s="156">
        <f>D90+H76</f>
        <v>668.75</v>
      </c>
      <c r="G90" s="126">
        <f>G87</f>
        <v>2</v>
      </c>
      <c r="H90" s="126">
        <v>1</v>
      </c>
      <c r="I90" s="201">
        <f>(H90-G90)^2</f>
        <v>1</v>
      </c>
      <c r="J90" s="374">
        <f>I90/G90</f>
        <v>0.5</v>
      </c>
      <c r="K90" s="375"/>
      <c r="L90" s="124"/>
      <c r="M90" s="124"/>
      <c r="N90" s="124"/>
      <c r="Q90" s="124"/>
      <c r="R90" s="124"/>
      <c r="S90" s="124"/>
      <c r="T90" s="124"/>
    </row>
    <row r="91" spans="3:20" s="121" customFormat="1" ht="15" customHeight="1">
      <c r="C91" s="395" t="s">
        <v>15</v>
      </c>
      <c r="D91" s="396"/>
      <c r="E91" s="396"/>
      <c r="F91" s="397"/>
      <c r="G91" s="578">
        <f>SUM(G86:G90)</f>
        <v>10</v>
      </c>
      <c r="H91" s="578">
        <f>SUM(H86:H90)</f>
        <v>10</v>
      </c>
      <c r="I91" s="202">
        <f>SUM(I86:I90)</f>
        <v>4</v>
      </c>
      <c r="J91" s="402">
        <f>SUM(J86:K90)</f>
        <v>2</v>
      </c>
      <c r="K91" s="402"/>
      <c r="L91" s="124"/>
      <c r="M91" s="124"/>
      <c r="N91" s="124"/>
      <c r="Q91" s="124"/>
      <c r="R91" s="124"/>
      <c r="S91" s="124"/>
      <c r="T91" s="124"/>
    </row>
    <row r="92" spans="3:21" s="121" customFormat="1" ht="15" customHeight="1">
      <c r="C92" s="144"/>
      <c r="D92" s="144"/>
      <c r="E92" s="137"/>
      <c r="F92" s="137"/>
      <c r="G92" s="137"/>
      <c r="H92" s="137"/>
      <c r="I92" s="137"/>
      <c r="J92" s="137"/>
      <c r="K92" s="157"/>
      <c r="L92" s="124"/>
      <c r="M92" s="124"/>
      <c r="N92" s="124"/>
      <c r="Q92" s="124"/>
      <c r="R92" s="124"/>
      <c r="S92" s="124"/>
      <c r="T92" s="124"/>
      <c r="U92" s="129"/>
    </row>
    <row r="93" spans="3:21" s="121" customFormat="1" ht="15" customHeight="1">
      <c r="C93" s="137"/>
      <c r="D93" s="137"/>
      <c r="E93" s="137"/>
      <c r="F93" s="137"/>
      <c r="G93" s="137"/>
      <c r="H93" s="137"/>
      <c r="I93" s="137"/>
      <c r="J93" s="137"/>
      <c r="K93" s="157"/>
      <c r="L93" s="124"/>
      <c r="M93" s="124"/>
      <c r="N93" s="124"/>
      <c r="Q93" s="124"/>
      <c r="R93" s="124"/>
      <c r="S93" s="124"/>
      <c r="T93" s="124"/>
      <c r="U93" s="129"/>
    </row>
    <row r="94" spans="3:21" s="121" customFormat="1" ht="15" customHeight="1">
      <c r="C94" s="370" t="s">
        <v>286</v>
      </c>
      <c r="D94" s="370"/>
      <c r="G94" s="116"/>
      <c r="L94" s="124"/>
      <c r="M94" s="124"/>
      <c r="N94" s="124"/>
      <c r="Q94" s="124"/>
      <c r="R94" s="124"/>
      <c r="S94" s="124"/>
      <c r="T94" s="124"/>
      <c r="U94" s="129"/>
    </row>
    <row r="95" spans="3:21" s="121" customFormat="1" ht="15" customHeight="1">
      <c r="C95" s="390" t="s">
        <v>24</v>
      </c>
      <c r="D95" s="390"/>
      <c r="F95" s="121" t="s">
        <v>28</v>
      </c>
      <c r="G95" s="121">
        <f>G91</f>
        <v>10</v>
      </c>
      <c r="Q95" s="124"/>
      <c r="R95" s="124"/>
      <c r="S95" s="124"/>
      <c r="T95" s="124"/>
      <c r="U95" s="129"/>
    </row>
    <row r="96" spans="3:20" s="121" customFormat="1" ht="15" customHeight="1">
      <c r="C96" s="390" t="s">
        <v>32</v>
      </c>
      <c r="D96" s="390"/>
      <c r="F96" s="121" t="s">
        <v>28</v>
      </c>
      <c r="G96" s="121">
        <f>'Tabel Hidrologi'!G112</f>
        <v>0.05</v>
      </c>
      <c r="H96" s="142">
        <f>'Tabel Hidrologi'!G112</f>
        <v>0.05</v>
      </c>
      <c r="Q96" s="124"/>
      <c r="R96" s="124"/>
      <c r="S96" s="124"/>
      <c r="T96" s="124"/>
    </row>
    <row r="97" spans="3:20" s="121" customFormat="1" ht="15" customHeight="1">
      <c r="C97" s="390" t="s">
        <v>182</v>
      </c>
      <c r="D97" s="390"/>
      <c r="F97" s="121" t="s">
        <v>28</v>
      </c>
      <c r="G97" s="121">
        <f>H68</f>
        <v>4.322</v>
      </c>
      <c r="Q97" s="124"/>
      <c r="R97" s="124"/>
      <c r="S97" s="124"/>
      <c r="T97" s="124"/>
    </row>
    <row r="98" spans="3:20" s="121" customFormat="1" ht="15" customHeight="1">
      <c r="C98" s="390" t="s">
        <v>34</v>
      </c>
      <c r="D98" s="390"/>
      <c r="F98" s="121" t="s">
        <v>28</v>
      </c>
      <c r="G98" s="121">
        <f>H72</f>
        <v>2</v>
      </c>
      <c r="Q98" s="124"/>
      <c r="R98" s="124"/>
      <c r="S98" s="124"/>
      <c r="T98" s="124"/>
    </row>
    <row r="99" spans="3:19" s="121" customFormat="1" ht="15" customHeight="1">
      <c r="C99" s="390" t="s">
        <v>282</v>
      </c>
      <c r="D99" s="390"/>
      <c r="F99" s="121" t="s">
        <v>28</v>
      </c>
      <c r="G99" s="146">
        <f>J91</f>
        <v>2</v>
      </c>
      <c r="S99" s="150"/>
    </row>
    <row r="100" spans="3:19" s="121" customFormat="1" ht="15" customHeight="1">
      <c r="C100" s="390" t="s">
        <v>284</v>
      </c>
      <c r="D100" s="390"/>
      <c r="F100" s="121" t="s">
        <v>28</v>
      </c>
      <c r="G100" s="175">
        <f>'Tabel Hidrologi'!G114</f>
        <v>5.991</v>
      </c>
      <c r="S100" s="150"/>
    </row>
    <row r="101" spans="3:19" s="121" customFormat="1" ht="15" customHeight="1">
      <c r="C101" s="370" t="s">
        <v>283</v>
      </c>
      <c r="D101" s="370"/>
      <c r="G101" s="146"/>
      <c r="S101" s="150"/>
    </row>
    <row r="102" spans="3:19" s="121" customFormat="1" ht="15" customHeight="1">
      <c r="C102" s="405" t="s">
        <v>285</v>
      </c>
      <c r="D102" s="405"/>
      <c r="E102" s="405"/>
      <c r="F102" s="121" t="s">
        <v>28</v>
      </c>
      <c r="G102" s="146">
        <f>J91</f>
        <v>2</v>
      </c>
      <c r="H102" s="121" t="s">
        <v>33</v>
      </c>
      <c r="I102" s="175">
        <f>Rekap!G100</f>
        <v>5.991</v>
      </c>
      <c r="J102" s="168" t="str">
        <f>IF(G102&lt;I102,"OK!!","tidak oke..!!")</f>
        <v>OK!!</v>
      </c>
      <c r="S102" s="150"/>
    </row>
    <row r="103" ht="15" customHeight="1"/>
    <row r="104" spans="1:12" ht="15" customHeight="1">
      <c r="A104" s="122" t="s">
        <v>172</v>
      </c>
      <c r="B104" s="121"/>
      <c r="C104" s="137"/>
      <c r="D104" s="137"/>
      <c r="E104" s="137"/>
      <c r="F104" s="137"/>
      <c r="G104" s="137"/>
      <c r="H104" s="137"/>
      <c r="I104" s="137"/>
      <c r="L104" s="579"/>
    </row>
    <row r="105" spans="1:24" ht="15" customHeight="1">
      <c r="A105" s="386" t="s">
        <v>22</v>
      </c>
      <c r="B105" s="371" t="s">
        <v>99</v>
      </c>
      <c r="C105" s="371" t="s">
        <v>173</v>
      </c>
      <c r="D105" s="386" t="s">
        <v>167</v>
      </c>
      <c r="E105" s="386" t="s">
        <v>169</v>
      </c>
      <c r="F105" s="386" t="s">
        <v>174</v>
      </c>
      <c r="G105" s="386" t="s">
        <v>175</v>
      </c>
      <c r="H105" s="386" t="s">
        <v>176</v>
      </c>
      <c r="I105" s="386" t="s">
        <v>177</v>
      </c>
      <c r="J105" s="386" t="s">
        <v>186</v>
      </c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</row>
    <row r="106" spans="1:24" ht="15" customHeight="1">
      <c r="A106" s="376"/>
      <c r="B106" s="373"/>
      <c r="C106" s="373"/>
      <c r="D106" s="376"/>
      <c r="E106" s="376"/>
      <c r="F106" s="376"/>
      <c r="G106" s="376"/>
      <c r="H106" s="376"/>
      <c r="I106" s="376"/>
      <c r="J106" s="376"/>
      <c r="M106" s="539"/>
      <c r="N106" s="539"/>
      <c r="O106" s="539"/>
      <c r="P106" s="539"/>
      <c r="Q106" s="539"/>
      <c r="R106" s="539"/>
      <c r="S106" s="539"/>
      <c r="T106" s="539"/>
      <c r="U106" s="539"/>
      <c r="V106" s="539"/>
      <c r="W106" s="539"/>
      <c r="X106" s="539"/>
    </row>
    <row r="107" spans="1:24" ht="15" customHeight="1">
      <c r="A107" s="125">
        <v>1</v>
      </c>
      <c r="B107" s="125">
        <f aca="true" t="shared" si="13" ref="B107:B116">A52</f>
        <v>2010</v>
      </c>
      <c r="C107" s="248">
        <f aca="true" t="shared" si="14" ref="C107:C116">C52</f>
        <v>628</v>
      </c>
      <c r="D107" s="125">
        <v>1</v>
      </c>
      <c r="E107" s="128">
        <f aca="true" t="shared" si="15" ref="E107:E116">F52</f>
        <v>0.09090909090909091</v>
      </c>
      <c r="F107" s="128">
        <f aca="true" t="shared" si="16" ref="F107:F116">1-E107</f>
        <v>0.9090909090909091</v>
      </c>
      <c r="G107" s="441">
        <f>(C107-C31)/C32</f>
        <v>2.2982030386959593</v>
      </c>
      <c r="H107" s="128">
        <f>D107/(A116-1)</f>
        <v>0.1111111111111111</v>
      </c>
      <c r="I107" s="128">
        <f>1-H107</f>
        <v>0.8888888888888888</v>
      </c>
      <c r="J107" s="143">
        <f>H107-E107</f>
        <v>0.020202020202020193</v>
      </c>
      <c r="K107" s="580"/>
      <c r="M107" s="539"/>
      <c r="N107" s="539"/>
      <c r="O107" s="539"/>
      <c r="P107" s="539"/>
      <c r="Q107" s="539"/>
      <c r="R107" s="539"/>
      <c r="S107" s="539"/>
      <c r="T107" s="539"/>
      <c r="U107" s="539"/>
      <c r="V107" s="539"/>
      <c r="W107" s="539"/>
      <c r="X107" s="539"/>
    </row>
    <row r="108" spans="1:24" ht="15" customHeight="1">
      <c r="A108" s="125">
        <v>2</v>
      </c>
      <c r="B108" s="125">
        <f t="shared" si="13"/>
        <v>2011</v>
      </c>
      <c r="C108" s="248">
        <f t="shared" si="14"/>
        <v>628</v>
      </c>
      <c r="D108" s="125">
        <v>2</v>
      </c>
      <c r="E108" s="128">
        <f t="shared" si="15"/>
        <v>0.18181818181818182</v>
      </c>
      <c r="F108" s="128">
        <f t="shared" si="16"/>
        <v>0.8181818181818181</v>
      </c>
      <c r="G108" s="441">
        <f>(C108-C31)/C32</f>
        <v>2.2982030386959593</v>
      </c>
      <c r="H108" s="128">
        <f>D108/(10-1)</f>
        <v>0.2222222222222222</v>
      </c>
      <c r="I108" s="128">
        <f aca="true" t="shared" si="17" ref="I108:I116">1-H108</f>
        <v>0.7777777777777778</v>
      </c>
      <c r="J108" s="128">
        <f aca="true" t="shared" si="18" ref="J108:J116">H108-E108</f>
        <v>0.04040404040404039</v>
      </c>
      <c r="K108" s="580"/>
      <c r="M108" s="539"/>
      <c r="N108" s="539"/>
      <c r="O108" s="539"/>
      <c r="P108" s="539"/>
      <c r="Q108" s="539"/>
      <c r="R108" s="539"/>
      <c r="S108" s="539"/>
      <c r="T108" s="539"/>
      <c r="U108" s="539"/>
      <c r="V108" s="539"/>
      <c r="W108" s="539"/>
      <c r="X108" s="539"/>
    </row>
    <row r="109" spans="1:24" ht="15" customHeight="1">
      <c r="A109" s="125">
        <v>3</v>
      </c>
      <c r="B109" s="125">
        <f t="shared" si="13"/>
        <v>2012</v>
      </c>
      <c r="C109" s="248">
        <f t="shared" si="14"/>
        <v>302</v>
      </c>
      <c r="D109" s="125">
        <v>3</v>
      </c>
      <c r="E109" s="128">
        <f t="shared" si="15"/>
        <v>0.2727272727272727</v>
      </c>
      <c r="F109" s="128">
        <f t="shared" si="16"/>
        <v>0.7272727272727273</v>
      </c>
      <c r="G109" s="441">
        <f>(C109-C31)/C32</f>
        <v>-0.9550066469961062</v>
      </c>
      <c r="H109" s="128">
        <f aca="true" t="shared" si="19" ref="H109:H116">D109/(10-1)</f>
        <v>0.3333333333333333</v>
      </c>
      <c r="I109" s="128">
        <f t="shared" si="17"/>
        <v>0.6666666666666667</v>
      </c>
      <c r="J109" s="128">
        <f t="shared" si="18"/>
        <v>0.06060606060606061</v>
      </c>
      <c r="K109" s="580"/>
      <c r="M109" s="539"/>
      <c r="N109" s="539"/>
      <c r="O109" s="539"/>
      <c r="P109" s="539"/>
      <c r="Q109" s="539"/>
      <c r="R109" s="539"/>
      <c r="S109" s="539"/>
      <c r="T109" s="539"/>
      <c r="U109" s="539"/>
      <c r="V109" s="539"/>
      <c r="W109" s="539"/>
      <c r="X109" s="539"/>
    </row>
    <row r="110" spans="1:24" ht="15" customHeight="1">
      <c r="A110" s="125">
        <v>4</v>
      </c>
      <c r="B110" s="125">
        <f t="shared" si="13"/>
        <v>2013</v>
      </c>
      <c r="C110" s="248">
        <f t="shared" si="14"/>
        <v>348</v>
      </c>
      <c r="D110" s="125">
        <v>4</v>
      </c>
      <c r="E110" s="128">
        <f t="shared" si="15"/>
        <v>0.36363636363636365</v>
      </c>
      <c r="F110" s="128">
        <f t="shared" si="16"/>
        <v>0.6363636363636364</v>
      </c>
      <c r="G110" s="441">
        <f>(C110-C31)/C32</f>
        <v>-0.49596478950581474</v>
      </c>
      <c r="H110" s="128">
        <f t="shared" si="19"/>
        <v>0.4444444444444444</v>
      </c>
      <c r="I110" s="128">
        <f t="shared" si="17"/>
        <v>0.5555555555555556</v>
      </c>
      <c r="J110" s="128">
        <f t="shared" si="18"/>
        <v>0.08080808080808077</v>
      </c>
      <c r="K110" s="580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</row>
    <row r="111" spans="1:24" ht="15" customHeight="1">
      <c r="A111" s="125">
        <v>5</v>
      </c>
      <c r="B111" s="125">
        <f t="shared" si="13"/>
        <v>2014</v>
      </c>
      <c r="C111" s="248">
        <f t="shared" si="14"/>
        <v>441</v>
      </c>
      <c r="D111" s="125">
        <v>5</v>
      </c>
      <c r="E111" s="128">
        <f t="shared" si="15"/>
        <v>0.45454545454545453</v>
      </c>
      <c r="F111" s="128">
        <f t="shared" si="16"/>
        <v>0.5454545454545454</v>
      </c>
      <c r="G111" s="441">
        <f>(C111-C31)/C32</f>
        <v>0.4320980962897744</v>
      </c>
      <c r="H111" s="128">
        <f t="shared" si="19"/>
        <v>0.5555555555555556</v>
      </c>
      <c r="I111" s="128">
        <f t="shared" si="17"/>
        <v>0.4444444444444444</v>
      </c>
      <c r="J111" s="128">
        <f t="shared" si="18"/>
        <v>0.10101010101010105</v>
      </c>
      <c r="K111" s="580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</row>
    <row r="112" spans="1:24" ht="15" customHeight="1">
      <c r="A112" s="125">
        <v>6</v>
      </c>
      <c r="B112" s="125">
        <f t="shared" si="13"/>
        <v>2015</v>
      </c>
      <c r="C112" s="248">
        <f t="shared" si="14"/>
        <v>433</v>
      </c>
      <c r="D112" s="125">
        <v>6</v>
      </c>
      <c r="E112" s="128">
        <f t="shared" si="15"/>
        <v>0.5454545454545454</v>
      </c>
      <c r="F112" s="128">
        <f t="shared" si="16"/>
        <v>0.4545454545454546</v>
      </c>
      <c r="G112" s="441">
        <f>(C112-C31)/C32</f>
        <v>0.35226472976972373</v>
      </c>
      <c r="H112" s="128">
        <f t="shared" si="19"/>
        <v>0.6666666666666666</v>
      </c>
      <c r="I112" s="128">
        <f t="shared" si="17"/>
        <v>0.33333333333333337</v>
      </c>
      <c r="J112" s="128">
        <f t="shared" si="18"/>
        <v>0.12121212121212122</v>
      </c>
      <c r="K112" s="580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9"/>
      <c r="X112" s="539"/>
    </row>
    <row r="113" spans="1:24" ht="15" customHeight="1">
      <c r="A113" s="125">
        <v>7</v>
      </c>
      <c r="B113" s="125">
        <f t="shared" si="13"/>
        <v>2016</v>
      </c>
      <c r="C113" s="248">
        <f t="shared" si="14"/>
        <v>350</v>
      </c>
      <c r="D113" s="125">
        <v>7</v>
      </c>
      <c r="E113" s="128">
        <f t="shared" si="15"/>
        <v>0.6363636363636364</v>
      </c>
      <c r="F113" s="128">
        <f t="shared" si="16"/>
        <v>0.36363636363636365</v>
      </c>
      <c r="G113" s="441">
        <f>(C113-C31)/C32</f>
        <v>-0.4760064478758021</v>
      </c>
      <c r="H113" s="128">
        <f t="shared" si="19"/>
        <v>0.7777777777777778</v>
      </c>
      <c r="I113" s="128">
        <f t="shared" si="17"/>
        <v>0.2222222222222222</v>
      </c>
      <c r="J113" s="128">
        <f t="shared" si="18"/>
        <v>0.14141414141414144</v>
      </c>
      <c r="K113" s="580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</row>
    <row r="114" spans="1:24" ht="15" customHeight="1">
      <c r="A114" s="125">
        <v>8</v>
      </c>
      <c r="B114" s="125">
        <f t="shared" si="13"/>
        <v>2017</v>
      </c>
      <c r="C114" s="248">
        <f t="shared" si="14"/>
        <v>481</v>
      </c>
      <c r="D114" s="125">
        <v>8</v>
      </c>
      <c r="E114" s="128">
        <f t="shared" si="15"/>
        <v>0.7272727272727273</v>
      </c>
      <c r="F114" s="128">
        <f t="shared" si="16"/>
        <v>0.2727272727272727</v>
      </c>
      <c r="G114" s="441">
        <f>(C114-C31)/C32</f>
        <v>0.8312649288900278</v>
      </c>
      <c r="H114" s="128">
        <f t="shared" si="19"/>
        <v>0.8888888888888888</v>
      </c>
      <c r="I114" s="128">
        <f t="shared" si="17"/>
        <v>0.11111111111111116</v>
      </c>
      <c r="J114" s="128">
        <f t="shared" si="18"/>
        <v>0.16161616161616155</v>
      </c>
      <c r="K114" s="580"/>
      <c r="M114" s="539"/>
      <c r="N114" s="539"/>
      <c r="O114" s="539"/>
      <c r="P114" s="539"/>
      <c r="Q114" s="539"/>
      <c r="R114" s="539"/>
      <c r="S114" s="539"/>
      <c r="T114" s="539"/>
      <c r="U114" s="539"/>
      <c r="V114" s="539"/>
      <c r="W114" s="539"/>
      <c r="X114" s="539"/>
    </row>
    <row r="115" spans="1:24" ht="15" customHeight="1">
      <c r="A115" s="125">
        <v>9</v>
      </c>
      <c r="B115" s="125">
        <f t="shared" si="13"/>
        <v>2018</v>
      </c>
      <c r="C115" s="248">
        <f t="shared" si="14"/>
        <v>336</v>
      </c>
      <c r="D115" s="125">
        <v>9</v>
      </c>
      <c r="E115" s="128">
        <f t="shared" si="15"/>
        <v>0.8181818181818182</v>
      </c>
      <c r="F115" s="128">
        <f t="shared" si="16"/>
        <v>0.18181818181818177</v>
      </c>
      <c r="G115" s="441">
        <f>(C115-C31)/C32</f>
        <v>-0.6157148392858908</v>
      </c>
      <c r="H115" s="128">
        <f t="shared" si="19"/>
        <v>1</v>
      </c>
      <c r="I115" s="128">
        <f t="shared" si="17"/>
        <v>0</v>
      </c>
      <c r="J115" s="128">
        <f t="shared" si="18"/>
        <v>0.18181818181818177</v>
      </c>
      <c r="K115" s="580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</row>
    <row r="116" spans="1:24" ht="15" customHeight="1">
      <c r="A116" s="126">
        <v>10</v>
      </c>
      <c r="B116" s="126">
        <f t="shared" si="13"/>
        <v>2019</v>
      </c>
      <c r="C116" s="249">
        <f t="shared" si="14"/>
        <v>302</v>
      </c>
      <c r="D116" s="126">
        <v>10</v>
      </c>
      <c r="E116" s="131">
        <f t="shared" si="15"/>
        <v>0.9090909090909091</v>
      </c>
      <c r="F116" s="131">
        <f t="shared" si="16"/>
        <v>0.09090909090909094</v>
      </c>
      <c r="G116" s="441">
        <f>(C116-C31)/C32</f>
        <v>-0.9550066469961062</v>
      </c>
      <c r="H116" s="131">
        <f t="shared" si="19"/>
        <v>1.1111111111111112</v>
      </c>
      <c r="I116" s="131">
        <f t="shared" si="17"/>
        <v>-0.11111111111111116</v>
      </c>
      <c r="J116" s="131">
        <f t="shared" si="18"/>
        <v>0.2020202020202021</v>
      </c>
      <c r="K116" s="580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</row>
    <row r="117" spans="1:24" ht="15" customHeight="1">
      <c r="A117" s="581" t="s">
        <v>187</v>
      </c>
      <c r="B117" s="582"/>
      <c r="C117" s="582"/>
      <c r="D117" s="582"/>
      <c r="E117" s="582"/>
      <c r="F117" s="582"/>
      <c r="G117" s="582"/>
      <c r="H117" s="582"/>
      <c r="I117" s="583"/>
      <c r="J117" s="584">
        <f>MAX(J107:J116)</f>
        <v>0.2020202020202021</v>
      </c>
      <c r="K117" s="585"/>
      <c r="M117" s="539"/>
      <c r="N117" s="539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</row>
    <row r="118" ht="15" customHeight="1"/>
    <row r="119" spans="2:3" ht="15" customHeight="1">
      <c r="B119" s="586" t="s">
        <v>218</v>
      </c>
      <c r="C119" s="441">
        <f>J117</f>
        <v>0.2020202020202021</v>
      </c>
    </row>
    <row r="120" spans="2:3" ht="15" customHeight="1">
      <c r="B120" s="586" t="s">
        <v>220</v>
      </c>
      <c r="C120" s="414">
        <f>D116</f>
        <v>10</v>
      </c>
    </row>
    <row r="121" spans="2:3" ht="15" customHeight="1">
      <c r="B121" s="586" t="s">
        <v>219</v>
      </c>
      <c r="C121" s="448">
        <f>'Tabel Hidrologi'!E148</f>
        <v>0.05</v>
      </c>
    </row>
    <row r="122" spans="2:3" ht="15" customHeight="1">
      <c r="B122" s="586" t="s">
        <v>431</v>
      </c>
      <c r="C122" s="441">
        <f>'Tabel Hidrologi'!E150</f>
        <v>0.41</v>
      </c>
    </row>
    <row r="123" spans="2:8" ht="15" customHeight="1">
      <c r="B123" s="586" t="s">
        <v>221</v>
      </c>
      <c r="C123" s="587" t="s">
        <v>222</v>
      </c>
      <c r="D123" s="588" t="str">
        <f>IF(C119&lt;C122,"OK!!","tidak oke..!!")</f>
        <v>OK!!</v>
      </c>
      <c r="H123" s="541"/>
    </row>
    <row r="124" ht="15" customHeight="1"/>
    <row r="125" spans="1:10" ht="15" customHeight="1">
      <c r="A125" s="540" t="s">
        <v>230</v>
      </c>
      <c r="H125" s="539"/>
      <c r="I125" s="539"/>
      <c r="J125" s="539"/>
    </row>
    <row r="126" spans="8:10" ht="15" customHeight="1">
      <c r="H126" s="539"/>
      <c r="I126" s="539"/>
      <c r="J126" s="539"/>
    </row>
    <row r="127" spans="2:10" ht="15" customHeight="1">
      <c r="B127" s="371" t="s">
        <v>31</v>
      </c>
      <c r="C127" s="398" t="s">
        <v>231</v>
      </c>
      <c r="D127" s="543"/>
      <c r="E127" s="543"/>
      <c r="F127" s="543"/>
      <c r="G127" s="399"/>
      <c r="H127" s="539"/>
      <c r="I127" s="539"/>
      <c r="J127" s="539"/>
    </row>
    <row r="128" spans="2:10" ht="15" customHeight="1">
      <c r="B128" s="372"/>
      <c r="C128" s="132" t="s">
        <v>232</v>
      </c>
      <c r="D128" s="132" t="s">
        <v>233</v>
      </c>
      <c r="E128" s="132" t="s">
        <v>234</v>
      </c>
      <c r="F128" s="132" t="s">
        <v>235</v>
      </c>
      <c r="G128" s="132" t="s">
        <v>236</v>
      </c>
      <c r="H128" s="539"/>
      <c r="I128" s="539"/>
      <c r="J128" s="539"/>
    </row>
    <row r="129" spans="2:10" ht="15" customHeight="1">
      <c r="B129" s="126" t="s">
        <v>432</v>
      </c>
      <c r="C129" s="589">
        <f>E4</f>
        <v>471.53064833279035</v>
      </c>
      <c r="D129" s="589">
        <f>E5</f>
        <v>539.9463322686355</v>
      </c>
      <c r="E129" s="589">
        <f>E6</f>
        <v>554.549635633835</v>
      </c>
      <c r="F129" s="589">
        <f>E7</f>
        <v>581.7584245902478</v>
      </c>
      <c r="G129" s="589">
        <f>E8</f>
        <v>605.8638918511289</v>
      </c>
      <c r="H129" s="539"/>
      <c r="I129" s="539"/>
      <c r="J129" s="539"/>
    </row>
    <row r="130" spans="2:10" ht="15" customHeight="1">
      <c r="B130" s="132" t="s">
        <v>237</v>
      </c>
      <c r="C130" s="132" t="s">
        <v>238</v>
      </c>
      <c r="D130" s="132" t="s">
        <v>238</v>
      </c>
      <c r="E130" s="132" t="s">
        <v>238</v>
      </c>
      <c r="F130" s="132" t="s">
        <v>238</v>
      </c>
      <c r="G130" s="132" t="s">
        <v>238</v>
      </c>
      <c r="H130" s="539"/>
      <c r="I130" s="539"/>
      <c r="J130" s="539"/>
    </row>
    <row r="131" spans="2:12" ht="15" customHeight="1">
      <c r="B131" s="281">
        <v>1</v>
      </c>
      <c r="C131" s="590">
        <f>C129/B154*(B154/B131)^0.66666667</f>
        <v>163.47054734342962</v>
      </c>
      <c r="D131" s="590">
        <f>D129/B154*(B154/B131)^0.66666667</f>
        <v>187.18894049435463</v>
      </c>
      <c r="E131" s="590">
        <f>E129/B154*(B154/B131)^0.66666667</f>
        <v>192.25162306349807</v>
      </c>
      <c r="F131" s="590">
        <f>F129/B154*(B154/B131)^0.66666667</f>
        <v>201.68438345560207</v>
      </c>
      <c r="G131" s="154">
        <f>G129/B154*(B154/B131)^0.66666667</f>
        <v>210.041282293542</v>
      </c>
      <c r="H131" s="539"/>
      <c r="I131" s="539"/>
      <c r="J131" s="539"/>
      <c r="L131" s="542"/>
    </row>
    <row r="132" spans="2:10" ht="15" customHeight="1">
      <c r="B132" s="159">
        <v>2</v>
      </c>
      <c r="C132" s="129">
        <f>(C129/24)*(24/2)^0.66666667</f>
        <v>102.97999157997738</v>
      </c>
      <c r="D132" s="129">
        <f>(D129/24)*(24/2)^0.66666667</f>
        <v>117.92164294572125</v>
      </c>
      <c r="E132" s="129">
        <f>(E129/24)*(24/2)^0.66666667</f>
        <v>121.11093310725225</v>
      </c>
      <c r="F132" s="129">
        <f>(F129/24)*(24/2)^0.66666667</f>
        <v>127.05319978183593</v>
      </c>
      <c r="G132" s="155">
        <f>(G129/24)*(24/2)^0.66666667</f>
        <v>132.31771614855356</v>
      </c>
      <c r="H132" s="539"/>
      <c r="I132" s="539"/>
      <c r="J132" s="539"/>
    </row>
    <row r="133" spans="2:12" ht="15" customHeight="1">
      <c r="B133" s="159">
        <v>3</v>
      </c>
      <c r="C133" s="129">
        <f>C129/24*(24/3)^0.66666667</f>
        <v>78.58844193353195</v>
      </c>
      <c r="D133" s="129">
        <f>D129/24*(24/3)^0.66666667</f>
        <v>89.99105600187637</v>
      </c>
      <c r="E133" s="129">
        <f>E129/24*(24/3)^0.66666667</f>
        <v>92.4249399129467</v>
      </c>
      <c r="F133" s="129">
        <f>F129/24*(24/3)^0.66666667</f>
        <v>96.95973810378167</v>
      </c>
      <c r="G133" s="155">
        <f>G129/24*(24/3)^0.66666667</f>
        <v>100.9773160084429</v>
      </c>
      <c r="H133" s="539"/>
      <c r="I133" s="539"/>
      <c r="J133" s="539"/>
      <c r="L133" s="542"/>
    </row>
    <row r="134" spans="2:10" ht="15" customHeight="1">
      <c r="B134" s="282">
        <v>4</v>
      </c>
      <c r="C134" s="446">
        <f>C129/24*(24/4)^0.66666667</f>
        <v>64.87332940491592</v>
      </c>
      <c r="D134" s="446">
        <f>D129/24*(24/4)^0.66666667</f>
        <v>74.28597992111366</v>
      </c>
      <c r="E134" s="446">
        <f>E129/24*(24/4)^0.66666667</f>
        <v>76.29510682083937</v>
      </c>
      <c r="F134" s="446">
        <f>F129/24*(24/4)^0.66666667</f>
        <v>80.03850024588868</v>
      </c>
      <c r="G134" s="156">
        <f>G129/24*(24/4)^0.66666667</f>
        <v>83.3549377321979</v>
      </c>
      <c r="H134" s="539"/>
      <c r="I134" s="539"/>
      <c r="J134" s="539"/>
    </row>
    <row r="135" spans="2:7" ht="15" customHeight="1">
      <c r="B135" s="159">
        <v>5</v>
      </c>
      <c r="C135" s="129">
        <f>C129/24*(24/5)^0.66666667</f>
        <v>55.906140489542885</v>
      </c>
      <c r="D135" s="129">
        <f>D129/24*(24/5)^0.66666667</f>
        <v>64.01771680240658</v>
      </c>
      <c r="E135" s="129">
        <f>E129/24*(24/5)^0.66666667</f>
        <v>65.74912987689683</v>
      </c>
      <c r="F135" s="129">
        <f>F129/24*(24/5)^0.66666667</f>
        <v>68.97508853584273</v>
      </c>
      <c r="G135" s="155">
        <f>G129/24*(24/5)^0.66666667</f>
        <v>71.83310772084758</v>
      </c>
    </row>
    <row r="136" spans="2:7" ht="15" customHeight="1">
      <c r="B136" s="159">
        <v>6</v>
      </c>
      <c r="C136" s="129">
        <f>C129/24*(24/6)^0.66666667</f>
        <v>49.507616020862045</v>
      </c>
      <c r="D136" s="129">
        <f>D129/24*(24/6)^0.66666667</f>
        <v>56.690812748532615</v>
      </c>
      <c r="E136" s="129">
        <f>E129/24*(24/6)^0.66666667</f>
        <v>58.22406353126903</v>
      </c>
      <c r="F136" s="129">
        <f>F129/24*(24/6)^0.66666667</f>
        <v>61.080807373497635</v>
      </c>
      <c r="G136" s="155">
        <f>G129/24*(24/6)^0.66666667</f>
        <v>63.61172285348759</v>
      </c>
    </row>
    <row r="137" spans="2:7" ht="15" customHeight="1">
      <c r="B137" s="159">
        <v>7</v>
      </c>
      <c r="C137" s="129">
        <f>C129/24*(24/7)^0.66666667</f>
        <v>44.672557921396894</v>
      </c>
      <c r="D137" s="129">
        <f>D129/24*(24/7)^0.66666667</f>
        <v>51.15422271702008</v>
      </c>
      <c r="E137" s="129">
        <f>E129/24*(24/7)^0.66666667</f>
        <v>52.53773175875937</v>
      </c>
      <c r="F137" s="129">
        <f>F129/24*(24/7)^0.66666667</f>
        <v>55.11547766970718</v>
      </c>
      <c r="G137" s="155">
        <f>G129/24*(24/7)^0.66666667</f>
        <v>57.39921656608966</v>
      </c>
    </row>
    <row r="138" spans="2:7" ht="15" customHeight="1">
      <c r="B138" s="159">
        <v>8</v>
      </c>
      <c r="C138" s="129">
        <f>C129/24*(24/8)^0.66666667</f>
        <v>40.867636552584514</v>
      </c>
      <c r="D138" s="129">
        <f>D129/24*(24/8)^0.66666667</f>
        <v>46.79723479921493</v>
      </c>
      <c r="E138" s="129">
        <f>E129/24*(24/8)^0.66666667</f>
        <v>48.062905432727824</v>
      </c>
      <c r="F138" s="129">
        <f>F129/24*(24/8)^0.66666667</f>
        <v>50.4210955144081</v>
      </c>
      <c r="G138" s="155">
        <f>G129/24*(24/8)^0.66666667</f>
        <v>52.510320209411674</v>
      </c>
    </row>
    <row r="139" spans="2:7" ht="15" customHeight="1">
      <c r="B139" s="159">
        <v>9</v>
      </c>
      <c r="C139" s="129">
        <f>C129/24*(24/9)^0.66666667</f>
        <v>37.78138206489809</v>
      </c>
      <c r="D139" s="129">
        <f>D129/24*(24/9)^0.66666667</f>
        <v>43.26318712497381</v>
      </c>
      <c r="E139" s="129">
        <f>E129/24*(24/9)^0.66666667</f>
        <v>44.43327646232866</v>
      </c>
      <c r="F139" s="129">
        <f>F129/24*(24/9)^0.66666667</f>
        <v>46.61338003506587</v>
      </c>
      <c r="G139" s="155">
        <f>G129/24*(24/9)^0.66666667</f>
        <v>48.54483003021756</v>
      </c>
    </row>
    <row r="140" spans="2:7" ht="15" customHeight="1">
      <c r="B140" s="159">
        <v>10</v>
      </c>
      <c r="C140" s="129">
        <f>C129/24*(24/10)^0.66666667</f>
        <v>35.218661529205185</v>
      </c>
      <c r="D140" s="129">
        <f>D129/24*(24/10)^0.66666667</f>
        <v>40.32863438960145</v>
      </c>
      <c r="E140" s="129">
        <f>E129/24*(24/10)^0.66666667</f>
        <v>41.41935627638808</v>
      </c>
      <c r="F140" s="129">
        <f>F129/24*(24/10)^0.66666667</f>
        <v>43.45158288194093</v>
      </c>
      <c r="G140" s="155">
        <f>G129/24*(24/10)^0.66666667</f>
        <v>45.25202214387653</v>
      </c>
    </row>
    <row r="141" spans="2:7" ht="15" customHeight="1">
      <c r="B141" s="159">
        <v>11</v>
      </c>
      <c r="C141" s="129">
        <f>C129/24*(24/11)^0.66666667</f>
        <v>33.05047634366952</v>
      </c>
      <c r="D141" s="129">
        <f>D129/24*(24/11)^0.66666667</f>
        <v>37.84586122788125</v>
      </c>
      <c r="E141" s="129">
        <f>E129/24*(24/11)^0.66666667</f>
        <v>38.86943442321324</v>
      </c>
      <c r="F141" s="129">
        <f>F129/24*(24/11)^0.66666667</f>
        <v>40.776549981710616</v>
      </c>
      <c r="G141" s="155">
        <f>G129/24*(24/11)^0.66666667</f>
        <v>42.46614784406752</v>
      </c>
    </row>
    <row r="142" spans="2:7" ht="15" customHeight="1">
      <c r="B142" s="159">
        <v>12</v>
      </c>
      <c r="C142" s="129">
        <f>C129/24*(24/12)^0.66666667</f>
        <v>31.187843705339155</v>
      </c>
      <c r="D142" s="129">
        <f>D129/24*(24/12)^0.66666667</f>
        <v>35.712974076247946</v>
      </c>
      <c r="E142" s="129">
        <f>E129/24*(24/12)^0.66666667</f>
        <v>36.67886154198497</v>
      </c>
      <c r="F142" s="129">
        <f>F129/24*(24/12)^0.66666667</f>
        <v>38.47849738831762</v>
      </c>
      <c r="G142" s="155">
        <f>G129/24*(24/12)^0.66666667</f>
        <v>40.07287422900589</v>
      </c>
    </row>
    <row r="143" spans="2:7" ht="15" customHeight="1">
      <c r="B143" s="159">
        <v>13</v>
      </c>
      <c r="C143" s="129">
        <f>C129/24*(24/13)^0.66666667</f>
        <v>29.567228084843983</v>
      </c>
      <c r="D143" s="129">
        <f>D129/24*(24/13)^0.66666667</f>
        <v>33.8572188599167</v>
      </c>
      <c r="E143" s="129">
        <f>E129/24*(24/13)^0.66666667</f>
        <v>34.772915862683504</v>
      </c>
      <c r="F143" s="129">
        <f>F129/24*(24/13)^0.66666667</f>
        <v>36.47903713355127</v>
      </c>
      <c r="G143" s="155">
        <f>G129/24*(24/13)^0.66666667</f>
        <v>37.99056528366038</v>
      </c>
    </row>
    <row r="144" spans="2:7" ht="15" customHeight="1">
      <c r="B144" s="159">
        <v>14</v>
      </c>
      <c r="C144" s="129">
        <f>C129/24*(24/14)^0.66666667</f>
        <v>28.141947973886243</v>
      </c>
      <c r="D144" s="129">
        <f>D129/24*(24/14)^0.66666667</f>
        <v>32.22514092163617</v>
      </c>
      <c r="E144" s="129">
        <f>E129/24*(24/14)^0.66666667</f>
        <v>33.09669700182606</v>
      </c>
      <c r="F144" s="129">
        <f>F129/24*(24/14)^0.66666667</f>
        <v>34.720575165315886</v>
      </c>
      <c r="G144" s="155">
        <f>G129/24*(24/14)^0.66666667</f>
        <v>36.159240515999855</v>
      </c>
    </row>
    <row r="145" spans="2:7" ht="15" customHeight="1">
      <c r="B145" s="159">
        <v>15</v>
      </c>
      <c r="C145" s="129">
        <f>C129/24*(24/15)^0.66666667</f>
        <v>26.87686893443875</v>
      </c>
      <c r="D145" s="129">
        <f>D129/24*(24/15)^0.66666667</f>
        <v>30.776508070739247</v>
      </c>
      <c r="E145" s="129">
        <f>E129/24*(24/15)^0.66666667</f>
        <v>31.60888465526045</v>
      </c>
      <c r="F145" s="129">
        <f>F129/24*(24/15)^0.66666667</f>
        <v>33.159763812812464</v>
      </c>
      <c r="G145" s="155">
        <f>G129/24*(24/15)^0.66666667</f>
        <v>34.533756121615376</v>
      </c>
    </row>
    <row r="146" spans="2:7" ht="15" customHeight="1">
      <c r="B146" s="159">
        <v>16</v>
      </c>
      <c r="C146" s="129">
        <f>C129/24*(24/16)^0.66666667</f>
        <v>25.74499771654362</v>
      </c>
      <c r="D146" s="129">
        <f>D129/24*(24/16)^0.66666667</f>
        <v>29.480410532087674</v>
      </c>
      <c r="E146" s="129">
        <f>E129/24*(24/16)^0.66666667</f>
        <v>30.277733066943807</v>
      </c>
      <c r="F146" s="129">
        <f>F129/24*(24/16)^0.66666667</f>
        <v>31.763299725292566</v>
      </c>
      <c r="G146" s="155">
        <f>G129/24*(24/16)^0.66666667</f>
        <v>33.07942880784926</v>
      </c>
    </row>
    <row r="147" spans="2:7" ht="15" customHeight="1">
      <c r="B147" s="159">
        <v>17</v>
      </c>
      <c r="C147" s="129">
        <f>C129/24*(24/17)^0.66666667</f>
        <v>24.725223825257764</v>
      </c>
      <c r="D147" s="129">
        <f>D129/24*(24/17)^0.66666667</f>
        <v>28.312674830728767</v>
      </c>
      <c r="E147" s="129">
        <f>E129/24*(24/17)^0.66666667</f>
        <v>29.078414969931483</v>
      </c>
      <c r="F147" s="129">
        <f>F129/24*(24/17)^0.66666667</f>
        <v>30.5051374944167</v>
      </c>
      <c r="G147" s="155">
        <f>G129/24*(24/17)^0.66666667</f>
        <v>31.76913396112582</v>
      </c>
    </row>
    <row r="148" spans="2:7" ht="15" customHeight="1">
      <c r="B148" s="159">
        <v>18</v>
      </c>
      <c r="C148" s="129">
        <f>C129/24*(24/18)^0.66666667</f>
        <v>23.80077922385139</v>
      </c>
      <c r="D148" s="129">
        <f>D129/24*(24/18)^0.66666667</f>
        <v>27.25410000917734</v>
      </c>
      <c r="E148" s="129">
        <f>E129/24*(24/18)^0.66666667</f>
        <v>27.99121010066971</v>
      </c>
      <c r="F148" s="129">
        <f>F129/24*(24/18)^0.66666667</f>
        <v>29.364589288617854</v>
      </c>
      <c r="G148" s="155">
        <f>G129/24*(24/18)^0.66666667</f>
        <v>30.581326538662072</v>
      </c>
    </row>
    <row r="149" spans="2:7" ht="15" customHeight="1">
      <c r="B149" s="159">
        <v>19</v>
      </c>
      <c r="C149" s="129">
        <f>C129/24*(24/19)^0.66666667</f>
        <v>22.95816177723274</v>
      </c>
      <c r="D149" s="129">
        <f>D129/24*(24/19)^0.66666667</f>
        <v>26.289224870273962</v>
      </c>
      <c r="E149" s="129">
        <f>E129/24*(24/19)^0.66666667</f>
        <v>27.00023910089856</v>
      </c>
      <c r="F149" s="129">
        <f>F129/24*(24/19)^0.66666667</f>
        <v>28.32499663433262</v>
      </c>
      <c r="G149" s="155">
        <f>G129/24*(24/19)^0.66666667</f>
        <v>29.498657814253445</v>
      </c>
    </row>
    <row r="150" spans="2:7" ht="15" customHeight="1">
      <c r="B150" s="159">
        <v>20</v>
      </c>
      <c r="C150" s="129">
        <f>C129/24*(24/20)^0.66666667</f>
        <v>22.1863664536228</v>
      </c>
      <c r="D150" s="129">
        <f>D129/24*(24/20)^0.66666667</f>
        <v>25.405447631787524</v>
      </c>
      <c r="E150" s="129">
        <f>E129/24*(24/20)^0.66666667</f>
        <v>26.092559362571723</v>
      </c>
      <c r="F150" s="129">
        <f>F129/24*(24/20)^0.66666667</f>
        <v>27.37278189886</v>
      </c>
      <c r="G150" s="155">
        <f>G129/24*(24/20)^0.66666667</f>
        <v>28.50698755882436</v>
      </c>
    </row>
    <row r="151" spans="2:7" ht="15" customHeight="1">
      <c r="B151" s="159">
        <v>21</v>
      </c>
      <c r="C151" s="129">
        <f>C129/24*(24/21)^0.66666667</f>
        <v>21.476325743575305</v>
      </c>
      <c r="D151" s="129">
        <f>D129/24*(24/21)^0.66666667</f>
        <v>24.59238515428557</v>
      </c>
      <c r="E151" s="129">
        <f>E129/24*(24/21)^0.66666667</f>
        <v>25.257506925504835</v>
      </c>
      <c r="F151" s="129">
        <f>F129/24*(24/21)^0.66666667</f>
        <v>26.49675789844203</v>
      </c>
      <c r="G151" s="155">
        <f>G129/24*(24/21)^0.66666667</f>
        <v>27.594665041755434</v>
      </c>
    </row>
    <row r="152" spans="2:7" ht="15" customHeight="1">
      <c r="B152" s="159">
        <v>22</v>
      </c>
      <c r="C152" s="129">
        <f>C129/24*(24/22)^0.66666667</f>
        <v>20.820495379115325</v>
      </c>
      <c r="D152" s="129">
        <f>D129/24*(24/22)^0.66666667</f>
        <v>23.841398551118584</v>
      </c>
      <c r="E152" s="129">
        <f>E129/24*(24/22)^0.66666667</f>
        <v>24.486209257082216</v>
      </c>
      <c r="F152" s="129">
        <f>F129/24*(24/22)^0.66666667</f>
        <v>25.687616772672808</v>
      </c>
      <c r="G152" s="155">
        <f>G129/24*(24/22)^0.66666667</f>
        <v>26.75199672653399</v>
      </c>
    </row>
    <row r="153" spans="2:7" ht="15" customHeight="1">
      <c r="B153" s="159">
        <v>23</v>
      </c>
      <c r="C153" s="129">
        <f>C129/24*(24/23)^0.66666667</f>
        <v>20.21254290910395</v>
      </c>
      <c r="D153" s="129">
        <f>D129/24*(24/23)^0.66666667</f>
        <v>23.145236578324344</v>
      </c>
      <c r="E153" s="129">
        <f>E129/24*(24/23)^0.66666667</f>
        <v>23.7712189973408</v>
      </c>
      <c r="F153" s="129">
        <f>F129/24*(24/23)^0.66666667</f>
        <v>24.937545759409733</v>
      </c>
      <c r="G153" s="155">
        <f>G129/24*(24/23)^0.66666667</f>
        <v>25.97084612509601</v>
      </c>
    </row>
    <row r="154" spans="2:7" ht="15" customHeight="1">
      <c r="B154" s="282">
        <v>24</v>
      </c>
      <c r="C154" s="446">
        <f>C129/24*(24/24)^0.66666667</f>
        <v>19.647110347199597</v>
      </c>
      <c r="D154" s="446">
        <f>D129/24*(24/24)^0.66666667</f>
        <v>22.497763844526478</v>
      </c>
      <c r="E154" s="446">
        <f>E129/24*(24/24)^0.66666667</f>
        <v>23.10623481807646</v>
      </c>
      <c r="F154" s="446">
        <f>F129/24*(24/24)^0.66666667</f>
        <v>24.239934357926995</v>
      </c>
      <c r="G154" s="156">
        <f>G129/24*(24/24)^0.66666667</f>
        <v>25.24432882713037</v>
      </c>
    </row>
    <row r="156" ht="15">
      <c r="B156" s="588" t="s">
        <v>367</v>
      </c>
    </row>
    <row r="157" ht="14.25">
      <c r="B157" s="540" t="s">
        <v>368</v>
      </c>
    </row>
    <row r="158" ht="14.25">
      <c r="B158" s="540" t="s">
        <v>370</v>
      </c>
    </row>
    <row r="159" spans="2:3" ht="14.25">
      <c r="B159" s="579">
        <f>Nakayasu!X5</f>
        <v>0.5503212081491043</v>
      </c>
      <c r="C159" s="414" t="s">
        <v>373</v>
      </c>
    </row>
    <row r="160" spans="2:3" ht="14.25">
      <c r="B160" s="579">
        <f>Nakayasu!AG10</f>
        <v>0.1496787918508956</v>
      </c>
      <c r="C160" s="414" t="s">
        <v>374</v>
      </c>
    </row>
    <row r="161" spans="2:12" ht="14.25">
      <c r="B161" s="579">
        <f>Nakayasu!AG15</f>
        <v>0.1100000000000001</v>
      </c>
      <c r="C161" s="414" t="s">
        <v>375</v>
      </c>
      <c r="D161" s="542"/>
      <c r="J161" s="591"/>
      <c r="L161" s="415"/>
    </row>
    <row r="162" spans="2:3" ht="14.25">
      <c r="B162" s="579">
        <f>Nakayasu!AG20</f>
        <v>0.06999999999999995</v>
      </c>
      <c r="C162" s="414" t="s">
        <v>376</v>
      </c>
    </row>
    <row r="163" spans="2:12" ht="14.25">
      <c r="B163" s="579">
        <f>Nakayasu!AG25</f>
        <v>0.06999999999999995</v>
      </c>
      <c r="C163" s="414" t="s">
        <v>377</v>
      </c>
      <c r="L163" s="591"/>
    </row>
    <row r="164" spans="2:3" ht="14.25">
      <c r="B164" s="579">
        <f>Nakayasu!AG30</f>
        <v>0.050000000000000044</v>
      </c>
      <c r="C164" s="414" t="s">
        <v>378</v>
      </c>
    </row>
    <row r="165" ht="14.25">
      <c r="L165" s="591"/>
    </row>
    <row r="166" spans="2:15" ht="14.25">
      <c r="B166" s="540" t="s">
        <v>379</v>
      </c>
      <c r="M166" s="580"/>
      <c r="O166" s="580"/>
    </row>
    <row r="167" spans="13:15" ht="14.25">
      <c r="M167" s="580"/>
      <c r="O167" s="580"/>
    </row>
    <row r="168" spans="2:14" ht="15" customHeight="1">
      <c r="B168" s="592" t="s">
        <v>31</v>
      </c>
      <c r="C168" s="469" t="s">
        <v>386</v>
      </c>
      <c r="D168" s="383" t="s">
        <v>380</v>
      </c>
      <c r="E168" s="383"/>
      <c r="F168" s="383"/>
      <c r="G168" s="383"/>
      <c r="H168" s="383"/>
      <c r="I168" s="393"/>
      <c r="L168" s="580"/>
      <c r="N168" s="580"/>
    </row>
    <row r="169" spans="2:14" ht="14.25" customHeight="1">
      <c r="B169" s="593"/>
      <c r="C169" s="474"/>
      <c r="D169" s="121">
        <v>1</v>
      </c>
      <c r="E169" s="121">
        <v>2</v>
      </c>
      <c r="F169" s="121">
        <v>3</v>
      </c>
      <c r="G169" s="121">
        <v>4</v>
      </c>
      <c r="H169" s="121">
        <v>5</v>
      </c>
      <c r="I169" s="141">
        <v>6</v>
      </c>
      <c r="J169" s="414"/>
      <c r="L169" s="580"/>
      <c r="N169" s="580"/>
    </row>
    <row r="170" spans="2:14" ht="14.25">
      <c r="B170" s="594"/>
      <c r="C170" s="546"/>
      <c r="D170" s="138" t="s">
        <v>387</v>
      </c>
      <c r="E170" s="138" t="s">
        <v>388</v>
      </c>
      <c r="F170" s="138" t="s">
        <v>389</v>
      </c>
      <c r="G170" s="138" t="s">
        <v>390</v>
      </c>
      <c r="H170" s="138" t="s">
        <v>390</v>
      </c>
      <c r="I170" s="140" t="s">
        <v>391</v>
      </c>
      <c r="J170" s="414"/>
      <c r="K170" s="542"/>
      <c r="L170" s="580"/>
      <c r="N170" s="580"/>
    </row>
    <row r="171" spans="2:10" ht="14.25">
      <c r="B171" s="159">
        <f>B4</f>
        <v>5</v>
      </c>
      <c r="C171" s="129">
        <f>E4</f>
        <v>471.53064833279035</v>
      </c>
      <c r="D171" s="129">
        <f>$B$159*C171</f>
        <v>259.4933160698316</v>
      </c>
      <c r="E171" s="129">
        <f>$B$160*C171</f>
        <v>70.57813776312159</v>
      </c>
      <c r="F171" s="129">
        <f>$B$161*C171</f>
        <v>51.86837131660698</v>
      </c>
      <c r="G171" s="129">
        <f>$B$162*C171</f>
        <v>33.0071453832953</v>
      </c>
      <c r="H171" s="129">
        <f>$B$163*C171</f>
        <v>33.0071453832953</v>
      </c>
      <c r="I171" s="155">
        <f>$B$164*C171</f>
        <v>23.576532416639537</v>
      </c>
      <c r="J171" s="414"/>
    </row>
    <row r="172" spans="2:10" ht="14.25">
      <c r="B172" s="159">
        <f>B5</f>
        <v>20</v>
      </c>
      <c r="C172" s="129">
        <f>E5</f>
        <v>539.9463322686355</v>
      </c>
      <c r="D172" s="129">
        <f>$B$159*C172</f>
        <v>297.1439179097532</v>
      </c>
      <c r="E172" s="129">
        <f>$B$160*C172</f>
        <v>80.8185146782916</v>
      </c>
      <c r="F172" s="129">
        <f>$B$161*C172</f>
        <v>59.39409654954996</v>
      </c>
      <c r="G172" s="129">
        <f>$B$162*C172</f>
        <v>37.79624325880446</v>
      </c>
      <c r="H172" s="129">
        <f>$B$163*C172</f>
        <v>37.79624325880446</v>
      </c>
      <c r="I172" s="155">
        <f>$B$164*C172</f>
        <v>26.9973166134318</v>
      </c>
      <c r="J172" s="414"/>
    </row>
    <row r="173" spans="2:10" ht="14.25">
      <c r="B173" s="159">
        <f>B6</f>
        <v>25</v>
      </c>
      <c r="C173" s="129">
        <f>E6</f>
        <v>554.549635633835</v>
      </c>
      <c r="D173" s="129">
        <f>$B$159*C173</f>
        <v>305.1804254606577</v>
      </c>
      <c r="E173" s="129">
        <f>$B$160*C173</f>
        <v>83.00431948302679</v>
      </c>
      <c r="F173" s="129">
        <f>$B$161*C173</f>
        <v>61.000459919721905</v>
      </c>
      <c r="G173" s="129">
        <f>$B$162*C173</f>
        <v>38.818474494368424</v>
      </c>
      <c r="H173" s="129">
        <f>$B$163*C173</f>
        <v>38.818474494368424</v>
      </c>
      <c r="I173" s="155">
        <f>$B$164*C173</f>
        <v>27.727481781691775</v>
      </c>
      <c r="J173" s="414"/>
    </row>
    <row r="174" spans="2:10" ht="14.25">
      <c r="B174" s="159">
        <f>B7</f>
        <v>50</v>
      </c>
      <c r="C174" s="129">
        <f>E7</f>
        <v>581.7584245902478</v>
      </c>
      <c r="D174" s="129">
        <f>$B$159*C174</f>
        <v>320.15399907142483</v>
      </c>
      <c r="E174" s="129">
        <f>$B$160*C174</f>
        <v>87.07689814174866</v>
      </c>
      <c r="F174" s="129">
        <f>$B$161*C174</f>
        <v>63.993426704927316</v>
      </c>
      <c r="G174" s="129">
        <f>$B$162*C174</f>
        <v>40.72308972131732</v>
      </c>
      <c r="H174" s="129">
        <f>$B$163*C174</f>
        <v>40.72308972131732</v>
      </c>
      <c r="I174" s="155">
        <f>$B$164*C174</f>
        <v>29.087921229512418</v>
      </c>
      <c r="J174" s="414"/>
    </row>
    <row r="175" spans="2:10" ht="14.25">
      <c r="B175" s="282">
        <f>B8</f>
        <v>100</v>
      </c>
      <c r="C175" s="446">
        <f>E8</f>
        <v>605.8638918511289</v>
      </c>
      <c r="D175" s="446">
        <f>$B$159*C175</f>
        <v>333.4197489374315</v>
      </c>
      <c r="E175" s="446">
        <f>$B$160*C175</f>
        <v>90.68497535835864</v>
      </c>
      <c r="F175" s="446">
        <f>$B$161*C175</f>
        <v>66.64502810362424</v>
      </c>
      <c r="G175" s="446">
        <f>$B$162*C175</f>
        <v>42.41047242957899</v>
      </c>
      <c r="H175" s="446">
        <f>$B$163*C175</f>
        <v>42.41047242957899</v>
      </c>
      <c r="I175" s="156">
        <f>$B$164*C175</f>
        <v>30.29319459255647</v>
      </c>
      <c r="J175" s="414"/>
    </row>
    <row r="176" spans="2:10" ht="14.25">
      <c r="B176" s="121"/>
      <c r="C176" s="129"/>
      <c r="D176" s="129"/>
      <c r="E176" s="129"/>
      <c r="F176" s="129"/>
      <c r="G176" s="129"/>
      <c r="H176" s="129"/>
      <c r="I176" s="129"/>
      <c r="J176" s="414"/>
    </row>
    <row r="177" spans="2:10" ht="14.25">
      <c r="B177" s="121"/>
      <c r="C177" s="129"/>
      <c r="D177" s="129"/>
      <c r="E177" s="129"/>
      <c r="F177" s="129"/>
      <c r="G177" s="129"/>
      <c r="H177" s="129"/>
      <c r="I177" s="129"/>
      <c r="J177" s="414"/>
    </row>
    <row r="178" spans="2:10" ht="14.25">
      <c r="B178" s="414"/>
      <c r="C178" s="414"/>
      <c r="D178" s="414"/>
      <c r="E178" s="414"/>
      <c r="F178" s="414"/>
      <c r="G178" s="414"/>
      <c r="H178" s="414"/>
      <c r="I178" s="414"/>
      <c r="J178" s="414"/>
    </row>
    <row r="179" ht="14.25">
      <c r="B179" s="540" t="s">
        <v>287</v>
      </c>
    </row>
    <row r="180" spans="2:6" ht="14.25">
      <c r="B180" s="377" t="s">
        <v>22</v>
      </c>
      <c r="C180" s="377" t="s">
        <v>288</v>
      </c>
      <c r="D180" s="377"/>
      <c r="E180" s="595" t="s">
        <v>289</v>
      </c>
      <c r="F180" s="596" t="s">
        <v>311</v>
      </c>
    </row>
    <row r="181" spans="2:6" ht="14.25">
      <c r="B181" s="377"/>
      <c r="C181" s="377"/>
      <c r="D181" s="377"/>
      <c r="E181" s="595"/>
      <c r="F181" s="596"/>
    </row>
    <row r="182" spans="2:6" ht="14.25">
      <c r="B182" s="125">
        <v>1</v>
      </c>
      <c r="C182" s="597" t="s">
        <v>293</v>
      </c>
      <c r="D182" s="141"/>
      <c r="E182" s="128">
        <v>1733.3636282999998</v>
      </c>
      <c r="F182" s="448">
        <f>E182/$E$195%</f>
        <v>22.772384312377024</v>
      </c>
    </row>
    <row r="183" spans="2:6" ht="14.25">
      <c r="B183" s="125">
        <v>2</v>
      </c>
      <c r="C183" s="597" t="s">
        <v>294</v>
      </c>
      <c r="D183" s="141"/>
      <c r="E183" s="128">
        <v>0.277642</v>
      </c>
      <c r="F183" s="463">
        <f aca="true" t="shared" si="20" ref="F183:F194">E183/$E$195%</f>
        <v>0.0036475729743203717</v>
      </c>
    </row>
    <row r="184" spans="2:6" ht="14.25">
      <c r="B184" s="125">
        <v>3</v>
      </c>
      <c r="C184" s="597" t="s">
        <v>295</v>
      </c>
      <c r="D184" s="141"/>
      <c r="E184" s="128">
        <v>1718.2097996000002</v>
      </c>
      <c r="F184" s="448">
        <f t="shared" si="20"/>
        <v>22.573298093348207</v>
      </c>
    </row>
    <row r="185" spans="2:6" ht="14.25">
      <c r="B185" s="125">
        <v>4</v>
      </c>
      <c r="C185" s="597" t="s">
        <v>296</v>
      </c>
      <c r="D185" s="141"/>
      <c r="E185" s="128">
        <v>0.788154</v>
      </c>
      <c r="F185" s="448">
        <f t="shared" si="20"/>
        <v>0.010354518516659937</v>
      </c>
    </row>
    <row r="186" spans="2:6" ht="14.25">
      <c r="B186" s="125">
        <v>5</v>
      </c>
      <c r="C186" s="597" t="s">
        <v>297</v>
      </c>
      <c r="D186" s="141"/>
      <c r="E186" s="128">
        <v>503.3848303699999</v>
      </c>
      <c r="F186" s="448">
        <f t="shared" si="20"/>
        <v>6.613311037020538</v>
      </c>
    </row>
    <row r="187" spans="2:6" ht="14.25">
      <c r="B187" s="125">
        <v>6</v>
      </c>
      <c r="C187" s="597" t="s">
        <v>298</v>
      </c>
      <c r="D187" s="141"/>
      <c r="E187" s="128">
        <v>1181.0577737299998</v>
      </c>
      <c r="F187" s="448">
        <f t="shared" si="20"/>
        <v>15.516364298515828</v>
      </c>
    </row>
    <row r="188" spans="2:6" ht="14.25">
      <c r="B188" s="125">
        <v>7</v>
      </c>
      <c r="C188" s="597" t="s">
        <v>299</v>
      </c>
      <c r="D188" s="141"/>
      <c r="E188" s="128">
        <v>574.1331580000001</v>
      </c>
      <c r="F188" s="448">
        <f t="shared" si="20"/>
        <v>7.542780237795464</v>
      </c>
    </row>
    <row r="189" spans="2:6" ht="14.25">
      <c r="B189" s="125">
        <v>8</v>
      </c>
      <c r="C189" s="597" t="s">
        <v>300</v>
      </c>
      <c r="D189" s="141"/>
      <c r="E189" s="128">
        <v>17</v>
      </c>
      <c r="F189" s="448">
        <f t="shared" si="20"/>
        <v>0.2233406349307609</v>
      </c>
    </row>
    <row r="190" spans="2:6" ht="14.25">
      <c r="B190" s="125">
        <v>9</v>
      </c>
      <c r="C190" s="597" t="s">
        <v>301</v>
      </c>
      <c r="D190" s="141"/>
      <c r="E190" s="128">
        <v>529</v>
      </c>
      <c r="F190" s="448">
        <f t="shared" si="20"/>
        <v>6.9498350516689715</v>
      </c>
    </row>
    <row r="191" spans="2:6" ht="14.25">
      <c r="B191" s="125">
        <v>10</v>
      </c>
      <c r="C191" s="597" t="s">
        <v>302</v>
      </c>
      <c r="D191" s="141"/>
      <c r="E191" s="128">
        <v>411.92881900000003</v>
      </c>
      <c r="F191" s="448">
        <f t="shared" si="20"/>
        <v>5.411790822455205</v>
      </c>
    </row>
    <row r="192" spans="2:6" ht="14.25">
      <c r="B192" s="125">
        <v>11</v>
      </c>
      <c r="C192" s="597" t="s">
        <v>303</v>
      </c>
      <c r="D192" s="141"/>
      <c r="E192" s="128">
        <v>472.84219299999995</v>
      </c>
      <c r="F192" s="448">
        <f t="shared" si="20"/>
        <v>6.212051506274904</v>
      </c>
    </row>
    <row r="193" spans="2:6" ht="14.25">
      <c r="B193" s="125">
        <v>12</v>
      </c>
      <c r="C193" s="597" t="s">
        <v>304</v>
      </c>
      <c r="D193" s="141"/>
      <c r="E193" s="128">
        <v>38.705446</v>
      </c>
      <c r="F193" s="448">
        <f t="shared" si="20"/>
        <v>0.5084999344069576</v>
      </c>
    </row>
    <row r="194" spans="2:6" ht="14.25">
      <c r="B194" s="126">
        <v>13</v>
      </c>
      <c r="C194" s="598" t="s">
        <v>305</v>
      </c>
      <c r="D194" s="140"/>
      <c r="E194" s="131">
        <v>431</v>
      </c>
      <c r="F194" s="448">
        <f t="shared" si="20"/>
        <v>5.6623419797151735</v>
      </c>
    </row>
    <row r="195" spans="2:6" ht="14.25">
      <c r="B195" s="383" t="s">
        <v>312</v>
      </c>
      <c r="C195" s="383"/>
      <c r="D195" s="383"/>
      <c r="E195" s="599">
        <f>SUM(E182:E194)</f>
        <v>7611.691443999998</v>
      </c>
      <c r="F195" s="463">
        <f>SUM(F182:F194)</f>
        <v>100.00000000000001</v>
      </c>
    </row>
    <row r="196" spans="1:7" ht="14.25">
      <c r="A196" s="541"/>
      <c r="B196" s="121"/>
      <c r="C196" s="121"/>
      <c r="D196" s="121"/>
      <c r="E196" s="121"/>
      <c r="F196" s="121"/>
      <c r="G196" s="541"/>
    </row>
    <row r="197" ht="14.25">
      <c r="B197" s="540" t="s">
        <v>290</v>
      </c>
    </row>
    <row r="198" spans="1:8" ht="14.25">
      <c r="A198" s="386" t="s">
        <v>22</v>
      </c>
      <c r="B198" s="386" t="s">
        <v>288</v>
      </c>
      <c r="C198" s="386"/>
      <c r="D198" s="371" t="s">
        <v>291</v>
      </c>
      <c r="E198" s="371" t="s">
        <v>292</v>
      </c>
      <c r="F198" s="386" t="s">
        <v>280</v>
      </c>
      <c r="H198" s="414"/>
    </row>
    <row r="199" spans="1:8" ht="14.25">
      <c r="A199" s="376"/>
      <c r="B199" s="376"/>
      <c r="C199" s="376"/>
      <c r="D199" s="373"/>
      <c r="E199" s="373"/>
      <c r="F199" s="376"/>
      <c r="H199" s="414"/>
    </row>
    <row r="200" spans="1:6" ht="14.25">
      <c r="A200" s="125">
        <v>1</v>
      </c>
      <c r="B200" s="597" t="s">
        <v>293</v>
      </c>
      <c r="C200" s="141"/>
      <c r="D200" s="125">
        <v>0.15</v>
      </c>
      <c r="E200" s="128">
        <v>1733.3636282999998</v>
      </c>
      <c r="F200" s="128">
        <f>D200*E200</f>
        <v>260.004544245</v>
      </c>
    </row>
    <row r="201" spans="1:6" ht="14.25">
      <c r="A201" s="125">
        <v>2</v>
      </c>
      <c r="B201" s="597" t="s">
        <v>294</v>
      </c>
      <c r="C201" s="141"/>
      <c r="D201" s="125">
        <v>0.15</v>
      </c>
      <c r="E201" s="128">
        <v>0.277642</v>
      </c>
      <c r="F201" s="128">
        <f aca="true" t="shared" si="21" ref="F201:F212">D201*E201</f>
        <v>0.0416463</v>
      </c>
    </row>
    <row r="202" spans="1:6" ht="14.25">
      <c r="A202" s="125">
        <v>3</v>
      </c>
      <c r="B202" s="597" t="s">
        <v>295</v>
      </c>
      <c r="C202" s="141"/>
      <c r="D202" s="125">
        <v>0.02</v>
      </c>
      <c r="E202" s="128">
        <v>1718.2097996000002</v>
      </c>
      <c r="F202" s="128">
        <f t="shared" si="21"/>
        <v>34.364195992000006</v>
      </c>
    </row>
    <row r="203" spans="1:6" ht="14.25">
      <c r="A203" s="125">
        <v>4</v>
      </c>
      <c r="B203" s="597" t="s">
        <v>296</v>
      </c>
      <c r="C203" s="141"/>
      <c r="D203" s="125">
        <v>0.15</v>
      </c>
      <c r="E203" s="128">
        <v>0.788154</v>
      </c>
      <c r="F203" s="128">
        <f t="shared" si="21"/>
        <v>0.1182231</v>
      </c>
    </row>
    <row r="204" spans="1:6" ht="14.25">
      <c r="A204" s="125">
        <v>5</v>
      </c>
      <c r="B204" s="597" t="s">
        <v>297</v>
      </c>
      <c r="C204" s="141"/>
      <c r="D204" s="125">
        <v>0.2</v>
      </c>
      <c r="E204" s="128">
        <v>503.3848303699999</v>
      </c>
      <c r="F204" s="128">
        <f t="shared" si="21"/>
        <v>100.67696607399999</v>
      </c>
    </row>
    <row r="205" spans="1:6" ht="14.25">
      <c r="A205" s="125">
        <v>6</v>
      </c>
      <c r="B205" s="597" t="s">
        <v>298</v>
      </c>
      <c r="C205" s="141"/>
      <c r="D205" s="125">
        <v>0.2</v>
      </c>
      <c r="E205" s="128">
        <v>1181.0577737299998</v>
      </c>
      <c r="F205" s="128">
        <f t="shared" si="21"/>
        <v>236.21155474599996</v>
      </c>
    </row>
    <row r="206" spans="1:6" ht="14.25">
      <c r="A206" s="125">
        <v>7</v>
      </c>
      <c r="B206" s="597" t="s">
        <v>299</v>
      </c>
      <c r="C206" s="141"/>
      <c r="D206" s="125">
        <v>0.9</v>
      </c>
      <c r="E206" s="128">
        <v>574.1331580000001</v>
      </c>
      <c r="F206" s="128">
        <f t="shared" si="21"/>
        <v>516.7198422000001</v>
      </c>
    </row>
    <row r="207" spans="1:6" ht="14.25">
      <c r="A207" s="125">
        <v>8</v>
      </c>
      <c r="B207" s="597" t="s">
        <v>300</v>
      </c>
      <c r="C207" s="141"/>
      <c r="D207" s="125">
        <v>0.15</v>
      </c>
      <c r="E207" s="128">
        <v>17</v>
      </c>
      <c r="F207" s="128">
        <f t="shared" si="21"/>
        <v>2.55</v>
      </c>
    </row>
    <row r="208" spans="1:6" ht="14.25">
      <c r="A208" s="125">
        <v>9</v>
      </c>
      <c r="B208" s="597" t="s">
        <v>301</v>
      </c>
      <c r="C208" s="141"/>
      <c r="D208" s="125">
        <v>0.2</v>
      </c>
      <c r="E208" s="128">
        <v>529</v>
      </c>
      <c r="F208" s="128">
        <f t="shared" si="21"/>
        <v>105.80000000000001</v>
      </c>
    </row>
    <row r="209" spans="1:6" ht="14.25">
      <c r="A209" s="125">
        <v>10</v>
      </c>
      <c r="B209" s="597" t="s">
        <v>302</v>
      </c>
      <c r="C209" s="141"/>
      <c r="D209" s="125">
        <v>0.4</v>
      </c>
      <c r="E209" s="128">
        <v>411.92881900000003</v>
      </c>
      <c r="F209" s="128">
        <f t="shared" si="21"/>
        <v>164.7715276</v>
      </c>
    </row>
    <row r="210" spans="1:6" ht="14.25">
      <c r="A210" s="125">
        <v>11</v>
      </c>
      <c r="B210" s="597" t="s">
        <v>303</v>
      </c>
      <c r="C210" s="141"/>
      <c r="D210" s="125">
        <v>0.2</v>
      </c>
      <c r="E210" s="128">
        <v>472.84219299999995</v>
      </c>
      <c r="F210" s="128">
        <f t="shared" si="21"/>
        <v>94.5684386</v>
      </c>
    </row>
    <row r="211" spans="1:6" ht="14.25">
      <c r="A211" s="125">
        <v>12</v>
      </c>
      <c r="B211" s="597" t="s">
        <v>304</v>
      </c>
      <c r="C211" s="141"/>
      <c r="D211" s="125">
        <v>0.15</v>
      </c>
      <c r="E211" s="128">
        <v>38.705446</v>
      </c>
      <c r="F211" s="128">
        <f t="shared" si="21"/>
        <v>5.8058169</v>
      </c>
    </row>
    <row r="212" spans="1:6" ht="14.25">
      <c r="A212" s="126">
        <v>13</v>
      </c>
      <c r="B212" s="598" t="s">
        <v>305</v>
      </c>
      <c r="C212" s="140"/>
      <c r="D212" s="126">
        <v>0.2</v>
      </c>
      <c r="E212" s="131">
        <v>431</v>
      </c>
      <c r="F212" s="131">
        <f t="shared" si="21"/>
        <v>86.2</v>
      </c>
    </row>
    <row r="213" spans="1:6" ht="15">
      <c r="A213" s="389" t="s">
        <v>306</v>
      </c>
      <c r="B213" s="389"/>
      <c r="C213" s="389"/>
      <c r="D213" s="389"/>
      <c r="E213" s="600">
        <f>SUM(E200:E212)</f>
        <v>7611.691443999998</v>
      </c>
      <c r="F213" s="600">
        <f>SUM(F200:F212)</f>
        <v>1607.832755757</v>
      </c>
    </row>
    <row r="214" spans="1:9" ht="14.25">
      <c r="A214" s="415" t="s">
        <v>307</v>
      </c>
      <c r="B214" s="415"/>
      <c r="C214" s="414"/>
      <c r="D214" s="414"/>
      <c r="E214" s="414"/>
      <c r="F214" s="414"/>
      <c r="G214" s="414"/>
      <c r="H214" s="414"/>
      <c r="I214" s="414"/>
    </row>
    <row r="215" spans="5:6" ht="14.25">
      <c r="E215" s="441"/>
      <c r="F215" s="441"/>
    </row>
    <row r="217" spans="3:4" ht="14.25">
      <c r="C217" s="601">
        <f>F213</f>
        <v>1607.832755757</v>
      </c>
      <c r="D217" s="602">
        <f>C217/C218</f>
        <v>0.2112319932548491</v>
      </c>
    </row>
    <row r="218" spans="3:4" ht="14.25">
      <c r="C218" s="603">
        <f>E213</f>
        <v>7611.691443999998</v>
      </c>
      <c r="D218" s="602"/>
    </row>
  </sheetData>
  <sheetProtection/>
  <mergeCells count="115">
    <mergeCell ref="C127:G127"/>
    <mergeCell ref="D198:D199"/>
    <mergeCell ref="E198:E199"/>
    <mergeCell ref="F198:F199"/>
    <mergeCell ref="B198:C199"/>
    <mergeCell ref="B168:B170"/>
    <mergeCell ref="C168:C170"/>
    <mergeCell ref="E180:E181"/>
    <mergeCell ref="C180:D181"/>
    <mergeCell ref="D168:I168"/>
    <mergeCell ref="A213:D213"/>
    <mergeCell ref="D217:D218"/>
    <mergeCell ref="A198:A199"/>
    <mergeCell ref="B180:B181"/>
    <mergeCell ref="C101:D101"/>
    <mergeCell ref="C102:E102"/>
    <mergeCell ref="B127:B128"/>
    <mergeCell ref="A117:I117"/>
    <mergeCell ref="F180:F181"/>
    <mergeCell ref="B195:D195"/>
    <mergeCell ref="E105:E106"/>
    <mergeCell ref="C105:C106"/>
    <mergeCell ref="R12:R13"/>
    <mergeCell ref="F38:F39"/>
    <mergeCell ref="G38:G39"/>
    <mergeCell ref="E50:E51"/>
    <mergeCell ref="O12:O13"/>
    <mergeCell ref="P12:P13"/>
    <mergeCell ref="Q12:Q13"/>
    <mergeCell ref="A52:B52"/>
    <mergeCell ref="A53:B53"/>
    <mergeCell ref="A54:B54"/>
    <mergeCell ref="A105:A106"/>
    <mergeCell ref="B44:C45"/>
    <mergeCell ref="A61:B61"/>
    <mergeCell ref="C96:D96"/>
    <mergeCell ref="C97:D97"/>
    <mergeCell ref="C99:D99"/>
    <mergeCell ref="D44:E44"/>
    <mergeCell ref="B105:B106"/>
    <mergeCell ref="C98:D98"/>
    <mergeCell ref="D105:D106"/>
    <mergeCell ref="F105:F106"/>
    <mergeCell ref="C84:C85"/>
    <mergeCell ref="J91:K91"/>
    <mergeCell ref="H105:H106"/>
    <mergeCell ref="J89:K89"/>
    <mergeCell ref="J90:K90"/>
    <mergeCell ref="C100:D100"/>
    <mergeCell ref="A60:B60"/>
    <mergeCell ref="I105:I106"/>
    <mergeCell ref="G105:G106"/>
    <mergeCell ref="J105:J106"/>
    <mergeCell ref="K28:L28"/>
    <mergeCell ref="G84:H84"/>
    <mergeCell ref="I84:I85"/>
    <mergeCell ref="J84:K85"/>
    <mergeCell ref="J88:K88"/>
    <mergeCell ref="J86:K86"/>
    <mergeCell ref="A46:A47"/>
    <mergeCell ref="D46:E46"/>
    <mergeCell ref="B46:C47"/>
    <mergeCell ref="C95:D95"/>
    <mergeCell ref="D38:E39"/>
    <mergeCell ref="D47:E47"/>
    <mergeCell ref="A58:B58"/>
    <mergeCell ref="A59:B59"/>
    <mergeCell ref="D84:F85"/>
    <mergeCell ref="C91:F91"/>
    <mergeCell ref="A28:A30"/>
    <mergeCell ref="D40:E40"/>
    <mergeCell ref="D41:E41"/>
    <mergeCell ref="D42:E42"/>
    <mergeCell ref="A38:A39"/>
    <mergeCell ref="A50:B51"/>
    <mergeCell ref="C50:C51"/>
    <mergeCell ref="D50:D51"/>
    <mergeCell ref="A44:A45"/>
    <mergeCell ref="A40:A41"/>
    <mergeCell ref="A55:B55"/>
    <mergeCell ref="A56:B56"/>
    <mergeCell ref="A57:B57"/>
    <mergeCell ref="A2:A3"/>
    <mergeCell ref="B2:B3"/>
    <mergeCell ref="F2:F3"/>
    <mergeCell ref="D2:D3"/>
    <mergeCell ref="C2:C3"/>
    <mergeCell ref="E2:E3"/>
    <mergeCell ref="A12:A13"/>
    <mergeCell ref="M12:M13"/>
    <mergeCell ref="N12:N13"/>
    <mergeCell ref="G12:G13"/>
    <mergeCell ref="K12:K13"/>
    <mergeCell ref="L12:L13"/>
    <mergeCell ref="H12:H13"/>
    <mergeCell ref="B12:B13"/>
    <mergeCell ref="A42:A43"/>
    <mergeCell ref="A24:B24"/>
    <mergeCell ref="C12:C13"/>
    <mergeCell ref="E12:E13"/>
    <mergeCell ref="D12:D13"/>
    <mergeCell ref="B38:C39"/>
    <mergeCell ref="B40:C41"/>
    <mergeCell ref="B42:C43"/>
    <mergeCell ref="B28:B30"/>
    <mergeCell ref="C94:D94"/>
    <mergeCell ref="J12:J13"/>
    <mergeCell ref="J24:K24"/>
    <mergeCell ref="C28:C30"/>
    <mergeCell ref="E28:E30"/>
    <mergeCell ref="J87:K87"/>
    <mergeCell ref="D43:E43"/>
    <mergeCell ref="F50:F51"/>
    <mergeCell ref="D45:E45"/>
    <mergeCell ref="F12:F13"/>
  </mergeCells>
  <printOptions/>
  <pageMargins left="0.7" right="0.7" top="0.75" bottom="0.75" header="0.3" footer="0.3"/>
  <pageSetup horizontalDpi="500" verticalDpi="5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45"/>
  <sheetViews>
    <sheetView tabSelected="1" zoomScale="85" zoomScaleNormal="85" zoomScalePageLayoutView="0" workbookViewId="0" topLeftCell="A1">
      <selection activeCell="P9" sqref="P9"/>
    </sheetView>
  </sheetViews>
  <sheetFormatPr defaultColWidth="6.28125" defaultRowHeight="15"/>
  <cols>
    <col min="1" max="2" width="6.28125" style="413" customWidth="1"/>
    <col min="3" max="3" width="6.28125" style="414" customWidth="1"/>
    <col min="4" max="4" width="10.421875" style="415" customWidth="1"/>
    <col min="5" max="5" width="9.28125" style="413" customWidth="1"/>
    <col min="6" max="8" width="7.421875" style="414" customWidth="1"/>
    <col min="9" max="10" width="7.421875" style="413" customWidth="1"/>
    <col min="11" max="12" width="7.57421875" style="413" bestFit="1" customWidth="1"/>
    <col min="13" max="14" width="6.28125" style="413" customWidth="1"/>
    <col min="15" max="15" width="6.421875" style="413" bestFit="1" customWidth="1"/>
    <col min="16" max="16" width="7.421875" style="413" bestFit="1" customWidth="1"/>
    <col min="17" max="18" width="6.28125" style="413" customWidth="1"/>
    <col min="19" max="31" width="5.8515625" style="416" customWidth="1"/>
    <col min="32" max="35" width="6.140625" style="413" customWidth="1"/>
    <col min="36" max="16384" width="6.28125" style="413" customWidth="1"/>
  </cols>
  <sheetData>
    <row r="1" spans="24:32" ht="14.25">
      <c r="X1" s="417"/>
      <c r="Y1" s="417"/>
      <c r="Z1" s="417" t="s">
        <v>247</v>
      </c>
      <c r="AA1" s="417"/>
      <c r="AB1" s="417"/>
      <c r="AC1" s="417"/>
      <c r="AD1" s="417"/>
      <c r="AE1" s="417"/>
      <c r="AF1" s="417"/>
    </row>
    <row r="2" spans="23:33" ht="14.25">
      <c r="W2" s="418"/>
      <c r="X2" s="419">
        <v>6</v>
      </c>
      <c r="Y2" s="419" t="s">
        <v>369</v>
      </c>
      <c r="Z2" s="419">
        <v>1</v>
      </c>
      <c r="AA2" s="420" t="s">
        <v>371</v>
      </c>
      <c r="AB2" s="419">
        <v>2</v>
      </c>
      <c r="AC2" s="419" t="s">
        <v>369</v>
      </c>
      <c r="AD2" s="419">
        <v>3</v>
      </c>
      <c r="AE2" s="421" t="s">
        <v>271</v>
      </c>
      <c r="AF2" s="417"/>
      <c r="AG2" s="422" t="s">
        <v>372</v>
      </c>
    </row>
    <row r="3" spans="23:32" ht="14.25">
      <c r="W3" s="423"/>
      <c r="X3" s="424">
        <f>X2/Z2</f>
        <v>6</v>
      </c>
      <c r="Y3" s="425">
        <f>AB2/AD2</f>
        <v>0.6666666666666666</v>
      </c>
      <c r="Z3" s="425"/>
      <c r="AA3" s="425"/>
      <c r="AB3" s="425"/>
      <c r="AC3" s="425"/>
      <c r="AD3" s="425"/>
      <c r="AE3" s="426"/>
      <c r="AF3" s="417"/>
    </row>
    <row r="4" spans="23:32" ht="14.25">
      <c r="W4" s="423"/>
      <c r="X4" s="427">
        <f>X2</f>
        <v>6</v>
      </c>
      <c r="Y4" s="427" t="s">
        <v>246</v>
      </c>
      <c r="Z4" s="428">
        <f>X3^Y3</f>
        <v>3.3019272488946263</v>
      </c>
      <c r="AA4" s="427"/>
      <c r="AB4" s="427"/>
      <c r="AC4" s="427"/>
      <c r="AD4" s="427"/>
      <c r="AE4" s="429"/>
      <c r="AF4" s="417"/>
    </row>
    <row r="5" spans="23:38" ht="14.25">
      <c r="W5" s="430" t="s">
        <v>28</v>
      </c>
      <c r="X5" s="431">
        <f>Z4/X4</f>
        <v>0.5503212081491043</v>
      </c>
      <c r="Y5" s="432"/>
      <c r="Z5" s="432"/>
      <c r="AA5" s="432"/>
      <c r="AB5" s="432"/>
      <c r="AC5" s="432"/>
      <c r="AD5" s="432"/>
      <c r="AE5" s="433"/>
      <c r="AF5" s="417"/>
      <c r="AG5" s="124"/>
      <c r="AH5" s="124"/>
      <c r="AI5" s="124"/>
      <c r="AJ5" s="124"/>
      <c r="AK5" s="124"/>
      <c r="AL5" s="124"/>
    </row>
    <row r="6" spans="24:38" ht="14.25">
      <c r="X6" s="417"/>
      <c r="Y6" s="417"/>
      <c r="Z6" s="417"/>
      <c r="AA6" s="417"/>
      <c r="AB6" s="417"/>
      <c r="AC6" s="417"/>
      <c r="AD6" s="417"/>
      <c r="AE6" s="417"/>
      <c r="AF6" s="417"/>
      <c r="AG6" s="124"/>
      <c r="AH6" s="124"/>
      <c r="AI6" s="124"/>
      <c r="AJ6" s="124"/>
      <c r="AK6" s="124"/>
      <c r="AL6" s="124"/>
    </row>
    <row r="7" spans="3:38" ht="14.25">
      <c r="C7" s="434" t="s">
        <v>240</v>
      </c>
      <c r="D7" s="434"/>
      <c r="E7" s="434"/>
      <c r="F7" s="434"/>
      <c r="G7" s="434"/>
      <c r="H7" s="414" t="s">
        <v>28</v>
      </c>
      <c r="I7" s="435">
        <v>76.11691444</v>
      </c>
      <c r="J7" s="435"/>
      <c r="K7" s="414" t="s">
        <v>243</v>
      </c>
      <c r="W7" s="418"/>
      <c r="X7" s="419">
        <v>6</v>
      </c>
      <c r="Y7" s="419" t="s">
        <v>369</v>
      </c>
      <c r="Z7" s="419">
        <v>2</v>
      </c>
      <c r="AA7" s="420" t="s">
        <v>371</v>
      </c>
      <c r="AB7" s="419">
        <v>2</v>
      </c>
      <c r="AC7" s="419" t="s">
        <v>369</v>
      </c>
      <c r="AD7" s="419">
        <v>3</v>
      </c>
      <c r="AE7" s="421" t="s">
        <v>271</v>
      </c>
      <c r="AF7" s="417">
        <f>Z7</f>
        <v>2</v>
      </c>
      <c r="AG7" s="417" t="s">
        <v>246</v>
      </c>
      <c r="AH7" s="436">
        <f>X10</f>
        <v>0.34668063717531733</v>
      </c>
      <c r="AI7" s="417"/>
      <c r="AJ7" s="417"/>
      <c r="AK7" s="417"/>
      <c r="AL7" s="417"/>
    </row>
    <row r="8" spans="3:38" ht="14.25">
      <c r="C8" s="434" t="s">
        <v>241</v>
      </c>
      <c r="D8" s="434"/>
      <c r="E8" s="434"/>
      <c r="F8" s="434"/>
      <c r="G8" s="434"/>
      <c r="H8" s="414" t="s">
        <v>28</v>
      </c>
      <c r="I8" s="435">
        <v>15.70366</v>
      </c>
      <c r="J8" s="435"/>
      <c r="K8" s="414" t="s">
        <v>244</v>
      </c>
      <c r="W8" s="423"/>
      <c r="X8" s="437">
        <f>X7/Z7</f>
        <v>3</v>
      </c>
      <c r="Y8" s="425">
        <f>AB7/AD7</f>
        <v>0.6666666666666666</v>
      </c>
      <c r="Z8" s="425"/>
      <c r="AA8" s="425"/>
      <c r="AB8" s="425"/>
      <c r="AC8" s="425"/>
      <c r="AD8" s="425"/>
      <c r="AE8" s="426"/>
      <c r="AF8" s="438">
        <f>AF7*AH7</f>
        <v>0.6933612743506347</v>
      </c>
      <c r="AG8" s="417" t="s">
        <v>19</v>
      </c>
      <c r="AH8" s="417">
        <f>Z7</f>
        <v>2</v>
      </c>
      <c r="AI8" s="417" t="s">
        <v>19</v>
      </c>
      <c r="AJ8" s="417">
        <v>1</v>
      </c>
      <c r="AK8" s="417" t="s">
        <v>246</v>
      </c>
      <c r="AL8" s="436">
        <f>X10</f>
        <v>0.34668063717531733</v>
      </c>
    </row>
    <row r="9" spans="3:38" ht="14.25">
      <c r="C9" s="434" t="s">
        <v>242</v>
      </c>
      <c r="D9" s="434"/>
      <c r="E9" s="434"/>
      <c r="F9" s="434"/>
      <c r="G9" s="434"/>
      <c r="H9" s="414" t="s">
        <v>28</v>
      </c>
      <c r="I9" s="435">
        <v>0.0350142558060457</v>
      </c>
      <c r="J9" s="435"/>
      <c r="K9" s="414"/>
      <c r="W9" s="423"/>
      <c r="X9" s="427">
        <f>X7</f>
        <v>6</v>
      </c>
      <c r="Y9" s="427" t="s">
        <v>246</v>
      </c>
      <c r="Z9" s="428">
        <f>X8^Y8</f>
        <v>2.080083823051904</v>
      </c>
      <c r="AA9" s="427"/>
      <c r="AB9" s="427"/>
      <c r="AC9" s="427"/>
      <c r="AD9" s="427"/>
      <c r="AE9" s="429"/>
      <c r="AF9" s="438">
        <f>ROUNDUP(AF8,2)</f>
        <v>0.7</v>
      </c>
      <c r="AG9" s="414" t="s">
        <v>19</v>
      </c>
      <c r="AH9" s="436">
        <f>X5</f>
        <v>0.5503212081491043</v>
      </c>
      <c r="AI9" s="417"/>
      <c r="AJ9" s="417"/>
      <c r="AK9" s="417"/>
      <c r="AL9" s="417"/>
    </row>
    <row r="10" spans="3:38" ht="14.25">
      <c r="C10" s="434" t="s">
        <v>261</v>
      </c>
      <c r="D10" s="434"/>
      <c r="E10" s="434"/>
      <c r="F10" s="434"/>
      <c r="G10" s="434"/>
      <c r="H10" s="414" t="s">
        <v>28</v>
      </c>
      <c r="I10" s="435">
        <f>Rekap!D217</f>
        <v>0.2112319932548491</v>
      </c>
      <c r="J10" s="435"/>
      <c r="K10" s="439"/>
      <c r="L10" s="422"/>
      <c r="W10" s="430" t="s">
        <v>28</v>
      </c>
      <c r="X10" s="431">
        <f>Z9/X9</f>
        <v>0.34668063717531733</v>
      </c>
      <c r="Y10" s="432"/>
      <c r="Z10" s="432"/>
      <c r="AA10" s="432"/>
      <c r="AB10" s="432"/>
      <c r="AC10" s="432"/>
      <c r="AD10" s="432"/>
      <c r="AE10" s="433"/>
      <c r="AF10" s="417" t="s">
        <v>28</v>
      </c>
      <c r="AG10" s="436">
        <f>AF9-AH9</f>
        <v>0.1496787918508956</v>
      </c>
      <c r="AH10" s="417"/>
      <c r="AI10" s="417"/>
      <c r="AJ10" s="417"/>
      <c r="AK10" s="417"/>
      <c r="AL10" s="417"/>
    </row>
    <row r="11" spans="3:38" ht="14.25">
      <c r="C11" s="413" t="s">
        <v>363</v>
      </c>
      <c r="D11" s="413"/>
      <c r="F11" s="413"/>
      <c r="G11" s="413"/>
      <c r="H11" s="414" t="s">
        <v>28</v>
      </c>
      <c r="I11" s="440">
        <v>1</v>
      </c>
      <c r="J11" s="440"/>
      <c r="K11" s="414" t="s">
        <v>365</v>
      </c>
      <c r="AH11" s="414"/>
      <c r="AI11" s="414"/>
      <c r="AJ11" s="414"/>
      <c r="AK11" s="414"/>
      <c r="AL11" s="414"/>
    </row>
    <row r="12" spans="3:38" ht="14.25">
      <c r="C12" s="413" t="s">
        <v>364</v>
      </c>
      <c r="D12" s="413"/>
      <c r="F12" s="413"/>
      <c r="G12" s="413"/>
      <c r="H12" s="414" t="s">
        <v>28</v>
      </c>
      <c r="I12" s="440">
        <v>1</v>
      </c>
      <c r="J12" s="440"/>
      <c r="K12" s="414" t="s">
        <v>247</v>
      </c>
      <c r="W12" s="418"/>
      <c r="X12" s="419">
        <v>6</v>
      </c>
      <c r="Y12" s="419" t="s">
        <v>369</v>
      </c>
      <c r="Z12" s="419">
        <v>3</v>
      </c>
      <c r="AA12" s="420" t="s">
        <v>371</v>
      </c>
      <c r="AB12" s="419">
        <v>2</v>
      </c>
      <c r="AC12" s="419" t="s">
        <v>369</v>
      </c>
      <c r="AD12" s="419">
        <v>3</v>
      </c>
      <c r="AE12" s="421" t="s">
        <v>271</v>
      </c>
      <c r="AF12" s="417">
        <f>Z12</f>
        <v>3</v>
      </c>
      <c r="AG12" s="417" t="s">
        <v>246</v>
      </c>
      <c r="AH12" s="436">
        <f>ROUNDUP(X15,2)</f>
        <v>0.27</v>
      </c>
      <c r="AI12" s="417"/>
      <c r="AJ12" s="417"/>
      <c r="AK12" s="417"/>
      <c r="AL12" s="417"/>
    </row>
    <row r="13" spans="3:38" ht="14.25">
      <c r="C13" s="413"/>
      <c r="D13" s="413"/>
      <c r="F13" s="413"/>
      <c r="G13" s="413"/>
      <c r="I13" s="441"/>
      <c r="J13" s="441"/>
      <c r="K13" s="439"/>
      <c r="W13" s="423"/>
      <c r="X13" s="437">
        <f>X12/Z12</f>
        <v>2</v>
      </c>
      <c r="Y13" s="425">
        <f>AB12/AD12</f>
        <v>0.6666666666666666</v>
      </c>
      <c r="Z13" s="425"/>
      <c r="AA13" s="425"/>
      <c r="AB13" s="425"/>
      <c r="AC13" s="425"/>
      <c r="AD13" s="425"/>
      <c r="AE13" s="426"/>
      <c r="AF13" s="436">
        <f>AF12*AH12</f>
        <v>0.81</v>
      </c>
      <c r="AG13" s="417" t="s">
        <v>19</v>
      </c>
      <c r="AH13" s="417">
        <f>Z12</f>
        <v>3</v>
      </c>
      <c r="AI13" s="417" t="s">
        <v>19</v>
      </c>
      <c r="AJ13" s="417">
        <v>1</v>
      </c>
      <c r="AK13" s="417" t="s">
        <v>246</v>
      </c>
      <c r="AL13" s="436">
        <f>AH12</f>
        <v>0.27</v>
      </c>
    </row>
    <row r="14" spans="3:38" ht="14.25">
      <c r="C14" s="414">
        <v>1</v>
      </c>
      <c r="D14" s="415" t="s">
        <v>248</v>
      </c>
      <c r="W14" s="423"/>
      <c r="X14" s="427">
        <f>X12</f>
        <v>6</v>
      </c>
      <c r="Y14" s="427" t="s">
        <v>246</v>
      </c>
      <c r="Z14" s="428">
        <f>X13^Y13</f>
        <v>1.5874010519681994</v>
      </c>
      <c r="AA14" s="427"/>
      <c r="AB14" s="427"/>
      <c r="AC14" s="427"/>
      <c r="AD14" s="427"/>
      <c r="AE14" s="429"/>
      <c r="AF14" s="436">
        <f>AF13</f>
        <v>0.81</v>
      </c>
      <c r="AG14" s="414" t="s">
        <v>19</v>
      </c>
      <c r="AH14" s="436">
        <f>AF9</f>
        <v>0.7</v>
      </c>
      <c r="AI14" s="417"/>
      <c r="AJ14" s="417"/>
      <c r="AK14" s="417"/>
      <c r="AL14" s="417"/>
    </row>
    <row r="15" spans="4:38" s="414" customFormat="1" ht="14.25">
      <c r="D15" s="414" t="s">
        <v>255</v>
      </c>
      <c r="E15" s="414">
        <v>0.4</v>
      </c>
      <c r="F15" s="414" t="s">
        <v>245</v>
      </c>
      <c r="G15" s="442">
        <v>0.058</v>
      </c>
      <c r="H15" s="414" t="s">
        <v>246</v>
      </c>
      <c r="I15" s="414" t="s">
        <v>254</v>
      </c>
      <c r="L15" s="441"/>
      <c r="O15" s="443"/>
      <c r="P15" s="443"/>
      <c r="S15" s="417"/>
      <c r="T15" s="417"/>
      <c r="U15" s="416"/>
      <c r="V15" s="417"/>
      <c r="W15" s="430" t="s">
        <v>28</v>
      </c>
      <c r="X15" s="431">
        <f>Z14/X14</f>
        <v>0.2645668419946999</v>
      </c>
      <c r="Y15" s="432"/>
      <c r="Z15" s="432"/>
      <c r="AA15" s="432"/>
      <c r="AB15" s="432"/>
      <c r="AC15" s="432"/>
      <c r="AD15" s="432"/>
      <c r="AE15" s="433"/>
      <c r="AF15" s="417" t="s">
        <v>28</v>
      </c>
      <c r="AG15" s="436">
        <f>AF14-AH14</f>
        <v>0.1100000000000001</v>
      </c>
      <c r="AH15" s="417"/>
      <c r="AI15" s="417"/>
      <c r="AJ15" s="417"/>
      <c r="AK15" s="417"/>
      <c r="AL15" s="417"/>
    </row>
    <row r="16" spans="5:31" s="414" customFormat="1" ht="14.25">
      <c r="E16" s="414">
        <f>E15+G15*I8</f>
        <v>1.31081228</v>
      </c>
      <c r="F16" s="414" t="s">
        <v>247</v>
      </c>
      <c r="S16" s="417"/>
      <c r="T16" s="417"/>
      <c r="U16" s="416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</row>
    <row r="17" spans="4:38" s="414" customFormat="1" ht="14.25">
      <c r="D17" s="415"/>
      <c r="S17" s="417"/>
      <c r="T17" s="417"/>
      <c r="U17" s="416"/>
      <c r="V17" s="417"/>
      <c r="W17" s="418"/>
      <c r="X17" s="419">
        <v>6</v>
      </c>
      <c r="Y17" s="419" t="s">
        <v>369</v>
      </c>
      <c r="Z17" s="419">
        <v>4</v>
      </c>
      <c r="AA17" s="420" t="s">
        <v>371</v>
      </c>
      <c r="AB17" s="419">
        <v>2</v>
      </c>
      <c r="AC17" s="419" t="s">
        <v>369</v>
      </c>
      <c r="AD17" s="419">
        <v>3</v>
      </c>
      <c r="AE17" s="421" t="s">
        <v>271</v>
      </c>
      <c r="AF17" s="417">
        <f>Z17</f>
        <v>4</v>
      </c>
      <c r="AG17" s="417" t="s">
        <v>246</v>
      </c>
      <c r="AH17" s="436">
        <f>X20</f>
        <v>0.2183951161840747</v>
      </c>
      <c r="AI17" s="417"/>
      <c r="AJ17" s="417"/>
      <c r="AK17" s="417"/>
      <c r="AL17" s="417"/>
    </row>
    <row r="18" spans="3:38" s="414" customFormat="1" ht="14.25">
      <c r="C18" s="414">
        <v>2</v>
      </c>
      <c r="D18" s="415" t="s">
        <v>249</v>
      </c>
      <c r="S18" s="417"/>
      <c r="T18" s="417"/>
      <c r="U18" s="416"/>
      <c r="V18" s="417"/>
      <c r="W18" s="423"/>
      <c r="X18" s="437">
        <f>X17/Z17</f>
        <v>1.5</v>
      </c>
      <c r="Y18" s="425">
        <f>AB17/AD17</f>
        <v>0.6666666666666666</v>
      </c>
      <c r="Z18" s="425"/>
      <c r="AA18" s="425"/>
      <c r="AB18" s="425"/>
      <c r="AC18" s="425"/>
      <c r="AD18" s="425"/>
      <c r="AE18" s="426"/>
      <c r="AF18" s="436">
        <f>AF17*AH17</f>
        <v>0.8735804647362988</v>
      </c>
      <c r="AG18" s="417" t="s">
        <v>19</v>
      </c>
      <c r="AH18" s="417">
        <f>Z17</f>
        <v>4</v>
      </c>
      <c r="AI18" s="417" t="s">
        <v>19</v>
      </c>
      <c r="AJ18" s="417">
        <v>1</v>
      </c>
      <c r="AK18" s="417" t="s">
        <v>246</v>
      </c>
      <c r="AL18" s="436">
        <f>AH17</f>
        <v>0.2183951161840747</v>
      </c>
    </row>
    <row r="19" spans="4:38" s="414" customFormat="1" ht="14.25">
      <c r="D19" s="414" t="s">
        <v>250</v>
      </c>
      <c r="E19" s="414">
        <v>0.75</v>
      </c>
      <c r="F19" s="414" t="s">
        <v>246</v>
      </c>
      <c r="G19" s="414" t="s">
        <v>251</v>
      </c>
      <c r="S19" s="417"/>
      <c r="T19" s="417"/>
      <c r="U19" s="416"/>
      <c r="V19" s="417"/>
      <c r="W19" s="423"/>
      <c r="X19" s="427">
        <f>X17</f>
        <v>6</v>
      </c>
      <c r="Y19" s="427" t="s">
        <v>246</v>
      </c>
      <c r="Z19" s="428">
        <f>X18^Y18</f>
        <v>1.3103706971044482</v>
      </c>
      <c r="AA19" s="427"/>
      <c r="AB19" s="427"/>
      <c r="AC19" s="427"/>
      <c r="AD19" s="427"/>
      <c r="AE19" s="429"/>
      <c r="AF19" s="436">
        <f>ROUNDUP(AF18,2)</f>
        <v>0.88</v>
      </c>
      <c r="AG19" s="414" t="s">
        <v>19</v>
      </c>
      <c r="AH19" s="436">
        <f>AF14</f>
        <v>0.81</v>
      </c>
      <c r="AI19" s="417"/>
      <c r="AJ19" s="417"/>
      <c r="AK19" s="417"/>
      <c r="AL19" s="417"/>
    </row>
    <row r="20" spans="4:38" s="414" customFormat="1" ht="14.25">
      <c r="D20" s="415"/>
      <c r="E20" s="414">
        <f>E19</f>
        <v>0.75</v>
      </c>
      <c r="F20" s="414" t="s">
        <v>246</v>
      </c>
      <c r="G20" s="414">
        <f>E16</f>
        <v>1.31081228</v>
      </c>
      <c r="S20" s="417"/>
      <c r="T20" s="417"/>
      <c r="U20" s="417"/>
      <c r="V20" s="417"/>
      <c r="W20" s="430" t="s">
        <v>28</v>
      </c>
      <c r="X20" s="431">
        <f>Z19/X19</f>
        <v>0.2183951161840747</v>
      </c>
      <c r="Y20" s="432"/>
      <c r="Z20" s="432"/>
      <c r="AA20" s="432"/>
      <c r="AB20" s="432"/>
      <c r="AC20" s="432"/>
      <c r="AD20" s="432"/>
      <c r="AE20" s="433"/>
      <c r="AF20" s="417" t="s">
        <v>28</v>
      </c>
      <c r="AG20" s="436">
        <f>AF19-AH19</f>
        <v>0.06999999999999995</v>
      </c>
      <c r="AH20" s="417"/>
      <c r="AI20" s="417"/>
      <c r="AJ20" s="417"/>
      <c r="AK20" s="417"/>
      <c r="AL20" s="417"/>
    </row>
    <row r="21" spans="4:38" s="414" customFormat="1" ht="14.25">
      <c r="D21" s="415"/>
      <c r="E21" s="414">
        <f>E20*G20</f>
        <v>0.98310921</v>
      </c>
      <c r="F21" s="414" t="s">
        <v>247</v>
      </c>
      <c r="S21" s="417"/>
      <c r="T21" s="417"/>
      <c r="U21" s="417"/>
      <c r="V21" s="417"/>
      <c r="W21" s="416"/>
      <c r="X21" s="416"/>
      <c r="Y21" s="416"/>
      <c r="Z21" s="416"/>
      <c r="AA21" s="416"/>
      <c r="AB21" s="416"/>
      <c r="AC21" s="416"/>
      <c r="AD21" s="416"/>
      <c r="AE21" s="416"/>
      <c r="AF21" s="413"/>
      <c r="AG21" s="413"/>
      <c r="AH21" s="413"/>
      <c r="AI21" s="413"/>
      <c r="AJ21" s="413"/>
      <c r="AK21" s="413"/>
      <c r="AL21" s="413"/>
    </row>
    <row r="22" spans="4:38" s="414" customFormat="1" ht="14.25">
      <c r="D22" s="415"/>
      <c r="Q22" s="441"/>
      <c r="S22" s="417"/>
      <c r="T22" s="417"/>
      <c r="U22" s="417"/>
      <c r="V22" s="417"/>
      <c r="W22" s="418"/>
      <c r="X22" s="419">
        <v>6</v>
      </c>
      <c r="Y22" s="419" t="s">
        <v>369</v>
      </c>
      <c r="Z22" s="419">
        <v>5</v>
      </c>
      <c r="AA22" s="420" t="s">
        <v>371</v>
      </c>
      <c r="AB22" s="419">
        <v>2</v>
      </c>
      <c r="AC22" s="419" t="s">
        <v>369</v>
      </c>
      <c r="AD22" s="419">
        <v>3</v>
      </c>
      <c r="AE22" s="421" t="s">
        <v>271</v>
      </c>
      <c r="AF22" s="417">
        <f>Z22</f>
        <v>5</v>
      </c>
      <c r="AG22" s="417" t="s">
        <v>246</v>
      </c>
      <c r="AH22" s="436">
        <f>X25</f>
        <v>0.18820720577620567</v>
      </c>
      <c r="AI22" s="417"/>
      <c r="AJ22" s="417"/>
      <c r="AK22" s="417"/>
      <c r="AL22" s="417"/>
    </row>
    <row r="23" spans="3:38" s="414" customFormat="1" ht="14.25">
      <c r="C23" s="414">
        <v>3</v>
      </c>
      <c r="D23" s="415" t="s">
        <v>252</v>
      </c>
      <c r="S23" s="417"/>
      <c r="T23" s="417"/>
      <c r="U23" s="417"/>
      <c r="V23" s="417"/>
      <c r="W23" s="423"/>
      <c r="X23" s="437">
        <f>X22/Z22</f>
        <v>1.2</v>
      </c>
      <c r="Y23" s="425">
        <f>AB22/AD22</f>
        <v>0.6666666666666666</v>
      </c>
      <c r="Z23" s="425"/>
      <c r="AA23" s="425"/>
      <c r="AB23" s="425"/>
      <c r="AC23" s="425"/>
      <c r="AD23" s="425"/>
      <c r="AE23" s="426"/>
      <c r="AF23" s="436">
        <f>AF22*AH22</f>
        <v>0.9410360288810283</v>
      </c>
      <c r="AG23" s="417" t="s">
        <v>19</v>
      </c>
      <c r="AH23" s="417">
        <f>Z22</f>
        <v>5</v>
      </c>
      <c r="AI23" s="417" t="s">
        <v>19</v>
      </c>
      <c r="AJ23" s="417">
        <v>1</v>
      </c>
      <c r="AK23" s="417" t="s">
        <v>246</v>
      </c>
      <c r="AL23" s="436">
        <f>AH22</f>
        <v>0.18820720577620567</v>
      </c>
    </row>
    <row r="24" spans="4:38" s="414" customFormat="1" ht="14.25">
      <c r="D24" s="414" t="s">
        <v>394</v>
      </c>
      <c r="E24" s="415" t="s">
        <v>253</v>
      </c>
      <c r="S24" s="417"/>
      <c r="T24" s="417"/>
      <c r="U24" s="417"/>
      <c r="V24" s="417"/>
      <c r="W24" s="423"/>
      <c r="X24" s="427">
        <f>X22</f>
        <v>6</v>
      </c>
      <c r="Y24" s="427" t="s">
        <v>246</v>
      </c>
      <c r="Z24" s="428">
        <f>X23^Y23</f>
        <v>1.129243234657234</v>
      </c>
      <c r="AA24" s="427"/>
      <c r="AB24" s="427"/>
      <c r="AC24" s="427"/>
      <c r="AD24" s="427"/>
      <c r="AE24" s="429"/>
      <c r="AF24" s="436">
        <f>ROUNDUP(AF23,2)</f>
        <v>0.95</v>
      </c>
      <c r="AG24" s="414" t="s">
        <v>19</v>
      </c>
      <c r="AH24" s="436">
        <f>AF19</f>
        <v>0.88</v>
      </c>
      <c r="AI24" s="417"/>
      <c r="AJ24" s="417"/>
      <c r="AK24" s="417"/>
      <c r="AL24" s="417"/>
    </row>
    <row r="25" spans="5:38" s="414" customFormat="1" ht="14.25">
      <c r="E25" s="444">
        <f>E16+(0.8+E21)</f>
        <v>3.09392149</v>
      </c>
      <c r="F25" s="414" t="s">
        <v>247</v>
      </c>
      <c r="H25" s="414" t="s">
        <v>279</v>
      </c>
      <c r="J25" s="441">
        <f>ROUNDUP(E25,-0.5)</f>
        <v>4</v>
      </c>
      <c r="K25" s="415" t="s">
        <v>237</v>
      </c>
      <c r="S25" s="417"/>
      <c r="T25" s="417"/>
      <c r="U25" s="417"/>
      <c r="V25" s="417"/>
      <c r="W25" s="430" t="s">
        <v>28</v>
      </c>
      <c r="X25" s="431">
        <f>Z24/X24</f>
        <v>0.18820720577620567</v>
      </c>
      <c r="Y25" s="432"/>
      <c r="Z25" s="432"/>
      <c r="AA25" s="432"/>
      <c r="AB25" s="432"/>
      <c r="AC25" s="432"/>
      <c r="AD25" s="432"/>
      <c r="AE25" s="433"/>
      <c r="AF25" s="417" t="s">
        <v>28</v>
      </c>
      <c r="AG25" s="436">
        <f>AF24-AH24</f>
        <v>0.06999999999999995</v>
      </c>
      <c r="AH25" s="417"/>
      <c r="AI25" s="417"/>
      <c r="AJ25" s="417"/>
      <c r="AK25" s="417"/>
      <c r="AL25" s="417"/>
    </row>
    <row r="27" spans="3:38" ht="14.25">
      <c r="C27" s="414">
        <v>4</v>
      </c>
      <c r="D27" s="415" t="s">
        <v>256</v>
      </c>
      <c r="W27" s="418"/>
      <c r="X27" s="419">
        <v>6</v>
      </c>
      <c r="Y27" s="419" t="s">
        <v>369</v>
      </c>
      <c r="Z27" s="419">
        <v>6</v>
      </c>
      <c r="AA27" s="420" t="s">
        <v>371</v>
      </c>
      <c r="AB27" s="419">
        <v>2</v>
      </c>
      <c r="AC27" s="419" t="s">
        <v>369</v>
      </c>
      <c r="AD27" s="419">
        <v>3</v>
      </c>
      <c r="AE27" s="421" t="s">
        <v>271</v>
      </c>
      <c r="AF27" s="417">
        <f>Z27</f>
        <v>6</v>
      </c>
      <c r="AG27" s="417" t="s">
        <v>246</v>
      </c>
      <c r="AH27" s="436">
        <f>X30</f>
        <v>0.16666666666666666</v>
      </c>
      <c r="AI27" s="417"/>
      <c r="AJ27" s="417"/>
      <c r="AK27" s="417"/>
      <c r="AL27" s="417"/>
    </row>
    <row r="28" spans="4:38" ht="14.25">
      <c r="D28" s="415" t="s">
        <v>258</v>
      </c>
      <c r="E28" s="413" t="s">
        <v>259</v>
      </c>
      <c r="W28" s="423"/>
      <c r="X28" s="437">
        <f>X27/Z27</f>
        <v>1</v>
      </c>
      <c r="Y28" s="425">
        <f>AB27/AD27</f>
        <v>0.6666666666666666</v>
      </c>
      <c r="Z28" s="425"/>
      <c r="AA28" s="425"/>
      <c r="AB28" s="425"/>
      <c r="AC28" s="425"/>
      <c r="AD28" s="425"/>
      <c r="AE28" s="426"/>
      <c r="AF28" s="436">
        <f>AF27*AH27</f>
        <v>1</v>
      </c>
      <c r="AG28" s="417" t="s">
        <v>19</v>
      </c>
      <c r="AH28" s="417">
        <f>Z27</f>
        <v>6</v>
      </c>
      <c r="AI28" s="417" t="s">
        <v>19</v>
      </c>
      <c r="AJ28" s="417">
        <v>1</v>
      </c>
      <c r="AK28" s="417" t="s">
        <v>246</v>
      </c>
      <c r="AL28" s="436">
        <f>AH27</f>
        <v>0.16666666666666666</v>
      </c>
    </row>
    <row r="29" spans="4:38" ht="14.25">
      <c r="D29" s="415" t="s">
        <v>257</v>
      </c>
      <c r="W29" s="423"/>
      <c r="X29" s="427">
        <f>X27</f>
        <v>6</v>
      </c>
      <c r="Y29" s="427" t="s">
        <v>246</v>
      </c>
      <c r="Z29" s="428">
        <f>X28^Y28</f>
        <v>1</v>
      </c>
      <c r="AA29" s="427"/>
      <c r="AB29" s="427"/>
      <c r="AC29" s="427"/>
      <c r="AD29" s="427"/>
      <c r="AE29" s="429"/>
      <c r="AF29" s="436">
        <f>AF28</f>
        <v>1</v>
      </c>
      <c r="AG29" s="414" t="s">
        <v>19</v>
      </c>
      <c r="AH29" s="436">
        <f>AF24</f>
        <v>0.95</v>
      </c>
      <c r="AI29" s="417"/>
      <c r="AJ29" s="417"/>
      <c r="AK29" s="417"/>
      <c r="AL29" s="417"/>
    </row>
    <row r="30" spans="5:38" ht="14.25">
      <c r="E30" s="414">
        <v>2</v>
      </c>
      <c r="F30" s="414" t="s">
        <v>246</v>
      </c>
      <c r="G30" s="414">
        <f>E16</f>
        <v>1.31081228</v>
      </c>
      <c r="W30" s="430" t="s">
        <v>28</v>
      </c>
      <c r="X30" s="431">
        <f>Z29/X29</f>
        <v>0.16666666666666666</v>
      </c>
      <c r="Y30" s="432"/>
      <c r="Z30" s="432"/>
      <c r="AA30" s="432"/>
      <c r="AB30" s="432"/>
      <c r="AC30" s="432"/>
      <c r="AD30" s="432"/>
      <c r="AE30" s="433"/>
      <c r="AF30" s="417" t="s">
        <v>28</v>
      </c>
      <c r="AG30" s="436">
        <f>AF29-AH29</f>
        <v>0.050000000000000044</v>
      </c>
      <c r="AH30" s="417"/>
      <c r="AI30" s="417"/>
      <c r="AJ30" s="417"/>
      <c r="AK30" s="417"/>
      <c r="AL30" s="417"/>
    </row>
    <row r="31" spans="5:6" ht="14.25">
      <c r="E31" s="441">
        <f>(E30*G30)</f>
        <v>2.62162456</v>
      </c>
      <c r="F31" s="414" t="s">
        <v>247</v>
      </c>
    </row>
    <row r="33" spans="3:13" ht="14.25">
      <c r="C33" s="414">
        <v>5</v>
      </c>
      <c r="D33" s="415" t="s">
        <v>260</v>
      </c>
      <c r="M33" s="443"/>
    </row>
    <row r="34" spans="4:19" ht="14.25">
      <c r="D34" s="415" t="s">
        <v>262</v>
      </c>
      <c r="E34" s="445"/>
      <c r="F34" s="446">
        <f>I10</f>
        <v>0.2112319932548491</v>
      </c>
      <c r="G34" s="138" t="s">
        <v>246</v>
      </c>
      <c r="H34" s="447">
        <f>I7</f>
        <v>76.11691444</v>
      </c>
      <c r="I34" s="138" t="s">
        <v>246</v>
      </c>
      <c r="J34" s="138">
        <v>1</v>
      </c>
      <c r="K34" s="138"/>
      <c r="L34" s="412" t="s">
        <v>28</v>
      </c>
      <c r="M34" s="406">
        <f>(F34*H34*J34)/(E35*(G35*I35+K35))</f>
        <v>1.2581556235174625</v>
      </c>
      <c r="N34" s="412" t="s">
        <v>274</v>
      </c>
      <c r="O34" s="414"/>
      <c r="R34" s="414"/>
      <c r="S34" s="417"/>
    </row>
    <row r="35" spans="5:19" ht="14.25">
      <c r="E35" s="414">
        <v>3.6</v>
      </c>
      <c r="F35" s="414" t="s">
        <v>263</v>
      </c>
      <c r="G35" s="448">
        <v>0.3</v>
      </c>
      <c r="H35" s="414" t="s">
        <v>246</v>
      </c>
      <c r="I35" s="441">
        <f>E25</f>
        <v>3.09392149</v>
      </c>
      <c r="J35" s="414" t="s">
        <v>246</v>
      </c>
      <c r="K35" s="441">
        <f>E31</f>
        <v>2.62162456</v>
      </c>
      <c r="L35" s="412"/>
      <c r="M35" s="406"/>
      <c r="N35" s="412"/>
      <c r="O35" s="414"/>
      <c r="P35" s="414"/>
      <c r="Q35" s="414"/>
      <c r="R35" s="414"/>
      <c r="S35" s="417"/>
    </row>
    <row r="36" spans="5:19" ht="14.25">
      <c r="E36" s="414"/>
      <c r="G36" s="448"/>
      <c r="I36" s="441"/>
      <c r="J36" s="414"/>
      <c r="K36" s="441"/>
      <c r="L36" s="414"/>
      <c r="M36" s="407"/>
      <c r="N36" s="414"/>
      <c r="O36" s="414"/>
      <c r="P36" s="414"/>
      <c r="Q36" s="414"/>
      <c r="R36" s="414"/>
      <c r="S36" s="417"/>
    </row>
    <row r="37" spans="3:19" ht="14.25">
      <c r="C37" s="415"/>
      <c r="D37" s="415" t="s">
        <v>385</v>
      </c>
      <c r="E37" s="414"/>
      <c r="G37" s="448"/>
      <c r="I37" s="441"/>
      <c r="J37" s="414"/>
      <c r="K37" s="441"/>
      <c r="L37" s="414"/>
      <c r="M37" s="407"/>
      <c r="N37" s="414"/>
      <c r="O37" s="414"/>
      <c r="P37" s="414"/>
      <c r="Q37" s="414"/>
      <c r="R37" s="414"/>
      <c r="S37" s="417"/>
    </row>
    <row r="38" spans="3:19" ht="14.25">
      <c r="C38" s="415"/>
      <c r="D38" s="449" t="s">
        <v>28</v>
      </c>
      <c r="E38" s="444">
        <f>0.5*M34</f>
        <v>0.6290778117587312</v>
      </c>
      <c r="G38" s="448"/>
      <c r="I38" s="441"/>
      <c r="J38" s="414"/>
      <c r="K38" s="441"/>
      <c r="L38" s="414"/>
      <c r="M38" s="407"/>
      <c r="N38" s="414"/>
      <c r="O38" s="414"/>
      <c r="P38" s="414"/>
      <c r="Q38" s="414"/>
      <c r="R38" s="414"/>
      <c r="S38" s="417"/>
    </row>
    <row r="40" ht="14.25">
      <c r="C40" s="415" t="s">
        <v>264</v>
      </c>
    </row>
    <row r="41" spans="3:4" ht="14.25">
      <c r="C41" s="415"/>
      <c r="D41" s="439"/>
    </row>
    <row r="42" spans="3:4" ht="14.25">
      <c r="C42" s="415"/>
      <c r="D42" s="439"/>
    </row>
    <row r="43" spans="3:4" ht="14.25">
      <c r="C43" s="414">
        <v>6</v>
      </c>
      <c r="D43" s="415" t="s">
        <v>268</v>
      </c>
    </row>
    <row r="44" spans="5:7" ht="14.25">
      <c r="E44" s="413" t="s">
        <v>273</v>
      </c>
      <c r="F44" s="441">
        <f>E25</f>
        <v>3.09392149</v>
      </c>
      <c r="G44" s="414" t="s">
        <v>237</v>
      </c>
    </row>
    <row r="45" spans="4:17" ht="14.25">
      <c r="D45" s="414" t="s">
        <v>267</v>
      </c>
      <c r="E45" s="450">
        <f>M34</f>
        <v>1.2581556235174625</v>
      </c>
      <c r="F45" s="138" t="s">
        <v>265</v>
      </c>
      <c r="G45" s="138">
        <v>1</v>
      </c>
      <c r="H45" s="138" t="s">
        <v>266</v>
      </c>
      <c r="I45" s="451">
        <v>2.4</v>
      </c>
      <c r="J45" s="408">
        <f>E45*(G45/E46)^I45</f>
        <v>0.08365888449340493</v>
      </c>
      <c r="K45" s="408"/>
      <c r="L45" s="412" t="s">
        <v>274</v>
      </c>
      <c r="O45" s="452"/>
      <c r="P45" s="452"/>
      <c r="Q45" s="452"/>
    </row>
    <row r="46" spans="5:12" ht="14.25">
      <c r="E46" s="453">
        <f>E25</f>
        <v>3.09392149</v>
      </c>
      <c r="F46" s="383"/>
      <c r="G46" s="383"/>
      <c r="H46" s="383"/>
      <c r="I46" s="383"/>
      <c r="J46" s="408"/>
      <c r="K46" s="408"/>
      <c r="L46" s="412"/>
    </row>
    <row r="48" spans="3:16" ht="14.25">
      <c r="C48" s="414">
        <v>7</v>
      </c>
      <c r="D48" s="415" t="s">
        <v>355</v>
      </c>
      <c r="P48" s="443"/>
    </row>
    <row r="49" spans="3:31" s="454" customFormat="1" ht="14.25">
      <c r="C49" s="455"/>
      <c r="D49" s="456"/>
      <c r="E49" s="457">
        <f>F44</f>
        <v>3.09392149</v>
      </c>
      <c r="F49" s="458" t="s">
        <v>33</v>
      </c>
      <c r="G49" s="458" t="s">
        <v>269</v>
      </c>
      <c r="H49" s="458" t="s">
        <v>270</v>
      </c>
      <c r="I49" s="457">
        <f>F44</f>
        <v>3.09392149</v>
      </c>
      <c r="J49" s="458" t="s">
        <v>245</v>
      </c>
      <c r="K49" s="457">
        <f>E31</f>
        <v>2.62162456</v>
      </c>
      <c r="L49" s="457" t="s">
        <v>271</v>
      </c>
      <c r="S49" s="459"/>
      <c r="T49" s="459"/>
      <c r="U49" s="459"/>
      <c r="V49" s="459"/>
      <c r="W49" s="459"/>
      <c r="X49" s="459"/>
      <c r="Y49" s="459"/>
      <c r="Z49" s="460"/>
      <c r="AA49" s="460"/>
      <c r="AB49" s="459"/>
      <c r="AC49" s="459"/>
      <c r="AD49" s="459"/>
      <c r="AE49" s="459"/>
    </row>
    <row r="50" spans="3:31" s="454" customFormat="1" ht="14.25">
      <c r="C50" s="455"/>
      <c r="D50" s="456"/>
      <c r="E50" s="457">
        <f>F44</f>
        <v>3.09392149</v>
      </c>
      <c r="F50" s="458" t="str">
        <f>F49</f>
        <v>&lt;</v>
      </c>
      <c r="G50" s="458" t="str">
        <f>G49</f>
        <v>(t)</v>
      </c>
      <c r="H50" s="458" t="str">
        <f>H49</f>
        <v>&lt; (</v>
      </c>
      <c r="I50" s="461">
        <f>I49+K49</f>
        <v>5.71554605</v>
      </c>
      <c r="J50" s="461"/>
      <c r="K50" s="457" t="s">
        <v>271</v>
      </c>
      <c r="L50" s="454" t="s">
        <v>272</v>
      </c>
      <c r="N50" s="455">
        <f>ROUNDUP(I50,-0.5)</f>
        <v>6</v>
      </c>
      <c r="O50" s="454" t="s">
        <v>237</v>
      </c>
      <c r="S50" s="459"/>
      <c r="T50" s="459"/>
      <c r="U50" s="459"/>
      <c r="V50" s="459"/>
      <c r="W50" s="459"/>
      <c r="X50" s="459"/>
      <c r="Y50" s="462"/>
      <c r="Z50" s="459"/>
      <c r="AA50" s="459"/>
      <c r="AB50" s="459"/>
      <c r="AC50" s="459"/>
      <c r="AD50" s="459"/>
      <c r="AE50" s="459"/>
    </row>
    <row r="51" spans="4:10" ht="14.25">
      <c r="D51" s="414" t="s">
        <v>358</v>
      </c>
      <c r="E51" s="441">
        <f>M34</f>
        <v>1.2581556235174625</v>
      </c>
      <c r="F51" s="414" t="s">
        <v>246</v>
      </c>
      <c r="G51" s="414">
        <v>0.3</v>
      </c>
      <c r="H51" s="463">
        <f>J25</f>
        <v>4</v>
      </c>
      <c r="I51" s="443">
        <f>E25</f>
        <v>3.09392149</v>
      </c>
      <c r="J51" s="443">
        <f>E31</f>
        <v>2.62162456</v>
      </c>
    </row>
    <row r="52" spans="4:17" ht="14.25">
      <c r="D52" s="449" t="s">
        <v>425</v>
      </c>
      <c r="E52" s="408">
        <f>E51*G51^((H51-I51)/J51)</f>
        <v>0.8298860821192442</v>
      </c>
      <c r="F52" s="408"/>
      <c r="G52" s="414" t="s">
        <v>274</v>
      </c>
      <c r="P52" s="464"/>
      <c r="Q52" s="464"/>
    </row>
    <row r="53" spans="17:18" ht="14.25">
      <c r="Q53" s="464"/>
      <c r="R53" s="464"/>
    </row>
    <row r="54" spans="3:4" ht="14.25">
      <c r="C54" s="414">
        <v>8</v>
      </c>
      <c r="D54" s="415" t="s">
        <v>356</v>
      </c>
    </row>
    <row r="55" spans="5:12" ht="14.25">
      <c r="E55" s="435">
        <f>I50</f>
        <v>5.71554605</v>
      </c>
      <c r="F55" s="435"/>
      <c r="G55" s="414" t="s">
        <v>33</v>
      </c>
      <c r="H55" s="435">
        <f>I50</f>
        <v>5.71554605</v>
      </c>
      <c r="I55" s="435"/>
      <c r="J55" s="413">
        <f>K57</f>
        <v>1.5</v>
      </c>
      <c r="K55" s="414" t="s">
        <v>246</v>
      </c>
      <c r="L55" s="443">
        <f>E31</f>
        <v>2.62162456</v>
      </c>
    </row>
    <row r="56" spans="5:15" ht="14.25">
      <c r="E56" s="435">
        <f>H55+(J55*L55)</f>
        <v>9.64798289</v>
      </c>
      <c r="F56" s="435"/>
      <c r="G56" s="414" t="s">
        <v>237</v>
      </c>
      <c r="H56" s="413"/>
      <c r="L56" s="443"/>
      <c r="N56" s="463">
        <f>ROUNDUP(E56,-0.5)</f>
        <v>10</v>
      </c>
      <c r="O56" s="465" t="s">
        <v>237</v>
      </c>
    </row>
    <row r="57" spans="4:12" ht="14.25">
      <c r="D57" s="414" t="s">
        <v>359</v>
      </c>
      <c r="E57" s="441">
        <f>M34</f>
        <v>1.2581556235174625</v>
      </c>
      <c r="F57" s="414">
        <f>G51</f>
        <v>0.3</v>
      </c>
      <c r="G57" s="463">
        <f>N50</f>
        <v>6</v>
      </c>
      <c r="H57" s="441">
        <f>E25</f>
        <v>3.09392149</v>
      </c>
      <c r="I57" s="414">
        <v>0.5</v>
      </c>
      <c r="J57" s="441">
        <f>E31</f>
        <v>2.62162456</v>
      </c>
      <c r="K57" s="414">
        <v>1.5</v>
      </c>
      <c r="L57" s="441">
        <f>J57</f>
        <v>2.62162456</v>
      </c>
    </row>
    <row r="58" spans="4:28" ht="14.25">
      <c r="D58" s="449" t="s">
        <v>425</v>
      </c>
      <c r="E58" s="408">
        <f>E57*F57^((G57-H57+I57*J57)/(K57*L57))</f>
        <v>0.3459656917135998</v>
      </c>
      <c r="F58" s="408"/>
      <c r="G58" s="414" t="s">
        <v>274</v>
      </c>
      <c r="I58" s="414"/>
      <c r="J58" s="414"/>
      <c r="K58" s="414"/>
      <c r="L58" s="414"/>
      <c r="AA58" s="466"/>
      <c r="AB58" s="466"/>
    </row>
    <row r="59" spans="25:26" ht="14.25">
      <c r="Y59" s="467"/>
      <c r="Z59" s="467"/>
    </row>
    <row r="60" spans="3:18" ht="14.25">
      <c r="C60" s="414">
        <v>9</v>
      </c>
      <c r="D60" s="415" t="s">
        <v>357</v>
      </c>
      <c r="Q60" s="412"/>
      <c r="R60" s="412"/>
    </row>
    <row r="61" spans="17:18" ht="14.25">
      <c r="Q61" s="414"/>
      <c r="R61" s="414"/>
    </row>
    <row r="62" spans="4:13" ht="14.25">
      <c r="D62" s="415" t="s">
        <v>360</v>
      </c>
      <c r="E62" s="441">
        <f>M34</f>
        <v>1.2581556235174625</v>
      </c>
      <c r="F62" s="414">
        <f>F57</f>
        <v>0.3</v>
      </c>
      <c r="G62" s="463">
        <f>N56</f>
        <v>10</v>
      </c>
      <c r="H62" s="441">
        <f>E25</f>
        <v>3.09392149</v>
      </c>
      <c r="I62" s="414">
        <v>1.5</v>
      </c>
      <c r="J62" s="441">
        <f>E31</f>
        <v>2.62162456</v>
      </c>
      <c r="K62" s="414">
        <v>2</v>
      </c>
      <c r="L62" s="441">
        <f>J62</f>
        <v>2.62162456</v>
      </c>
      <c r="M62" s="414"/>
    </row>
    <row r="63" spans="4:7" ht="14.25">
      <c r="D63" s="449" t="s">
        <v>425</v>
      </c>
      <c r="E63" s="408">
        <f>E62*F62^((G62-H62+I62*J62)/(K62*L62))</f>
        <v>0.10444129620055444</v>
      </c>
      <c r="F63" s="408"/>
      <c r="G63" s="414" t="s">
        <v>274</v>
      </c>
    </row>
    <row r="65" spans="17:18" ht="14.25">
      <c r="Q65" s="468"/>
      <c r="R65" s="468"/>
    </row>
    <row r="67" spans="3:23" ht="14.25" customHeight="1">
      <c r="C67" s="413"/>
      <c r="D67" s="382" t="s">
        <v>275</v>
      </c>
      <c r="E67" s="393"/>
      <c r="F67" s="377" t="s">
        <v>276</v>
      </c>
      <c r="G67" s="377"/>
      <c r="H67" s="377"/>
      <c r="I67" s="377" t="s">
        <v>277</v>
      </c>
      <c r="J67" s="377"/>
      <c r="K67" s="377"/>
      <c r="L67" s="377"/>
      <c r="M67" s="377"/>
      <c r="N67" s="377"/>
      <c r="O67" s="377"/>
      <c r="P67" s="377"/>
      <c r="Q67" s="377"/>
      <c r="R67" s="469" t="s">
        <v>278</v>
      </c>
      <c r="S67" s="469"/>
      <c r="T67" s="470"/>
      <c r="W67" s="471"/>
    </row>
    <row r="68" spans="3:20" ht="14.25">
      <c r="C68" s="413"/>
      <c r="D68" s="384" t="s">
        <v>237</v>
      </c>
      <c r="E68" s="394"/>
      <c r="F68" s="472"/>
      <c r="G68" s="472"/>
      <c r="H68" s="472"/>
      <c r="I68" s="473" t="s">
        <v>361</v>
      </c>
      <c r="J68" s="473"/>
      <c r="K68" s="473"/>
      <c r="L68" s="473" t="s">
        <v>362</v>
      </c>
      <c r="M68" s="473"/>
      <c r="N68" s="473"/>
      <c r="O68" s="473" t="s">
        <v>360</v>
      </c>
      <c r="P68" s="473"/>
      <c r="Q68" s="473"/>
      <c r="R68" s="474"/>
      <c r="S68" s="474"/>
      <c r="T68" s="475"/>
    </row>
    <row r="69" spans="3:20" ht="14.25">
      <c r="C69" s="413"/>
      <c r="D69" s="384" t="s">
        <v>247</v>
      </c>
      <c r="E69" s="394"/>
      <c r="F69" s="476" t="s">
        <v>349</v>
      </c>
      <c r="G69" s="476"/>
      <c r="H69" s="476"/>
      <c r="I69" s="477" t="s">
        <v>350</v>
      </c>
      <c r="J69" s="478"/>
      <c r="K69" s="479"/>
      <c r="L69" s="480" t="s">
        <v>351</v>
      </c>
      <c r="M69" s="480"/>
      <c r="N69" s="480"/>
      <c r="O69" s="480" t="s">
        <v>352</v>
      </c>
      <c r="P69" s="480"/>
      <c r="Q69" s="480"/>
      <c r="R69" s="385" t="s">
        <v>274</v>
      </c>
      <c r="S69" s="385"/>
      <c r="T69" s="394"/>
    </row>
    <row r="70" spans="3:20" ht="15.75" thickBot="1">
      <c r="C70" s="413"/>
      <c r="D70" s="481">
        <v>1</v>
      </c>
      <c r="E70" s="481"/>
      <c r="F70" s="481">
        <v>2</v>
      </c>
      <c r="G70" s="481"/>
      <c r="H70" s="481"/>
      <c r="I70" s="481">
        <v>3</v>
      </c>
      <c r="J70" s="481"/>
      <c r="K70" s="481"/>
      <c r="L70" s="481">
        <v>4</v>
      </c>
      <c r="M70" s="481"/>
      <c r="N70" s="481"/>
      <c r="O70" s="481">
        <v>5</v>
      </c>
      <c r="P70" s="481"/>
      <c r="Q70" s="481"/>
      <c r="R70" s="481">
        <v>7</v>
      </c>
      <c r="S70" s="481"/>
      <c r="T70" s="481"/>
    </row>
    <row r="71" spans="3:25" ht="15" customHeight="1">
      <c r="C71" s="413"/>
      <c r="D71" s="482">
        <v>0</v>
      </c>
      <c r="E71" s="482"/>
      <c r="F71" s="387">
        <v>0</v>
      </c>
      <c r="G71" s="387"/>
      <c r="H71" s="387"/>
      <c r="I71" s="387">
        <v>0</v>
      </c>
      <c r="J71" s="387"/>
      <c r="K71" s="387"/>
      <c r="L71" s="387">
        <v>0</v>
      </c>
      <c r="M71" s="387"/>
      <c r="N71" s="387"/>
      <c r="O71" s="387">
        <v>0</v>
      </c>
      <c r="P71" s="387"/>
      <c r="Q71" s="387"/>
      <c r="R71" s="483">
        <v>0</v>
      </c>
      <c r="S71" s="484"/>
      <c r="T71" s="485"/>
      <c r="Y71" s="417" t="s">
        <v>395</v>
      </c>
    </row>
    <row r="72" spans="3:20" ht="14.25">
      <c r="C72" s="413"/>
      <c r="D72" s="482">
        <v>1</v>
      </c>
      <c r="E72" s="482"/>
      <c r="F72" s="486">
        <f>E45*(D72/E46)^I45</f>
        <v>0.08365888449340493</v>
      </c>
      <c r="G72" s="486"/>
      <c r="H72" s="486"/>
      <c r="I72" s="487"/>
      <c r="J72" s="487"/>
      <c r="K72" s="487"/>
      <c r="L72" s="487"/>
      <c r="M72" s="487"/>
      <c r="N72" s="487"/>
      <c r="O72" s="487"/>
      <c r="P72" s="487"/>
      <c r="Q72" s="487"/>
      <c r="R72" s="488">
        <f>F72</f>
        <v>0.08365888449340493</v>
      </c>
      <c r="S72" s="489"/>
      <c r="T72" s="490"/>
    </row>
    <row r="73" spans="3:20" ht="14.25">
      <c r="C73" s="413"/>
      <c r="D73" s="482">
        <v>2</v>
      </c>
      <c r="E73" s="482"/>
      <c r="F73" s="486">
        <f>E45*(D73/E46)^I45</f>
        <v>0.4415542395819344</v>
      </c>
      <c r="G73" s="486"/>
      <c r="H73" s="486"/>
      <c r="I73" s="487"/>
      <c r="J73" s="487"/>
      <c r="K73" s="487"/>
      <c r="L73" s="487"/>
      <c r="M73" s="487"/>
      <c r="N73" s="487"/>
      <c r="O73" s="487"/>
      <c r="P73" s="487"/>
      <c r="Q73" s="487"/>
      <c r="R73" s="488">
        <f>F73</f>
        <v>0.4415542395819344</v>
      </c>
      <c r="S73" s="489"/>
      <c r="T73" s="490"/>
    </row>
    <row r="74" spans="3:20" ht="14.25">
      <c r="C74" s="413"/>
      <c r="D74" s="482">
        <v>3</v>
      </c>
      <c r="E74" s="482"/>
      <c r="F74" s="486">
        <f>$E$45*(D74/$E$46)^$I$45</f>
        <v>1.1684310265780802</v>
      </c>
      <c r="G74" s="486"/>
      <c r="H74" s="486"/>
      <c r="I74" s="487"/>
      <c r="J74" s="487"/>
      <c r="K74" s="487"/>
      <c r="L74" s="487"/>
      <c r="M74" s="487"/>
      <c r="N74" s="487"/>
      <c r="O74" s="487"/>
      <c r="P74" s="487"/>
      <c r="Q74" s="487"/>
      <c r="R74" s="488">
        <f>F74</f>
        <v>1.1684310265780802</v>
      </c>
      <c r="S74" s="489"/>
      <c r="T74" s="490"/>
    </row>
    <row r="75" spans="3:26" ht="14.25">
      <c r="C75" s="413"/>
      <c r="D75" s="486">
        <f>E25</f>
        <v>3.09392149</v>
      </c>
      <c r="E75" s="486"/>
      <c r="F75" s="486">
        <f>$E$45*(D75/$E$46)^$I$45</f>
        <v>1.2581556235174625</v>
      </c>
      <c r="G75" s="486"/>
      <c r="H75" s="486"/>
      <c r="I75" s="487"/>
      <c r="J75" s="487"/>
      <c r="K75" s="487"/>
      <c r="L75" s="487"/>
      <c r="M75" s="487"/>
      <c r="N75" s="487"/>
      <c r="O75" s="487"/>
      <c r="P75" s="487"/>
      <c r="Q75" s="487"/>
      <c r="R75" s="488">
        <f>F75</f>
        <v>1.2581556235174625</v>
      </c>
      <c r="S75" s="489"/>
      <c r="T75" s="490"/>
      <c r="Y75" s="417" t="str">
        <f>Y71</f>
        <v>0,8</v>
      </c>
      <c r="Z75" s="416">
        <f>E16</f>
        <v>1.31081228</v>
      </c>
    </row>
    <row r="76" spans="3:20" ht="14.25">
      <c r="C76" s="413"/>
      <c r="D76" s="482">
        <v>4</v>
      </c>
      <c r="E76" s="482"/>
      <c r="F76" s="409"/>
      <c r="G76" s="409"/>
      <c r="H76" s="409"/>
      <c r="I76" s="486">
        <f>$E$51*$G$51^((D76-$I$51)/$J$51)</f>
        <v>0.8298860821192442</v>
      </c>
      <c r="J76" s="486"/>
      <c r="K76" s="486"/>
      <c r="L76" s="491"/>
      <c r="M76" s="492"/>
      <c r="N76" s="493"/>
      <c r="O76" s="491"/>
      <c r="P76" s="492"/>
      <c r="Q76" s="493"/>
      <c r="R76" s="488">
        <f>I76</f>
        <v>0.8298860821192442</v>
      </c>
      <c r="S76" s="489"/>
      <c r="T76" s="490"/>
    </row>
    <row r="77" spans="3:20" ht="14.25">
      <c r="C77" s="413"/>
      <c r="D77" s="482">
        <v>5</v>
      </c>
      <c r="E77" s="482"/>
      <c r="F77" s="409"/>
      <c r="G77" s="409"/>
      <c r="H77" s="409"/>
      <c r="I77" s="486">
        <f>$E$51*$G$51^((D77-$I$51)/$J$51)</f>
        <v>0.5242882336434767</v>
      </c>
      <c r="J77" s="486"/>
      <c r="K77" s="486"/>
      <c r="L77" s="494"/>
      <c r="M77" s="494"/>
      <c r="N77" s="494"/>
      <c r="O77" s="495"/>
      <c r="P77" s="495"/>
      <c r="Q77" s="495"/>
      <c r="R77" s="488">
        <f>I77</f>
        <v>0.5242882336434767</v>
      </c>
      <c r="S77" s="489"/>
      <c r="T77" s="490"/>
    </row>
    <row r="78" spans="3:33" ht="14.25">
      <c r="C78" s="413"/>
      <c r="D78" s="488">
        <f>I50</f>
        <v>5.71554605</v>
      </c>
      <c r="E78" s="490"/>
      <c r="F78" s="409"/>
      <c r="G78" s="409"/>
      <c r="H78" s="409"/>
      <c r="I78" s="486">
        <f>$E$51*$G$51^((D78-$I$51)/$J$51)</f>
        <v>0.3774466870552386</v>
      </c>
      <c r="J78" s="486"/>
      <c r="K78" s="486"/>
      <c r="L78" s="494"/>
      <c r="M78" s="494"/>
      <c r="N78" s="494"/>
      <c r="O78" s="491"/>
      <c r="P78" s="492"/>
      <c r="Q78" s="493"/>
      <c r="R78" s="488">
        <f>I78</f>
        <v>0.3774466870552386</v>
      </c>
      <c r="S78" s="489"/>
      <c r="T78" s="490"/>
      <c r="AG78" s="416" t="s">
        <v>396</v>
      </c>
    </row>
    <row r="79" spans="3:25" ht="14.25">
      <c r="C79" s="413"/>
      <c r="D79" s="482">
        <v>6</v>
      </c>
      <c r="E79" s="482"/>
      <c r="F79" s="409"/>
      <c r="G79" s="409"/>
      <c r="H79" s="409"/>
      <c r="I79" s="494"/>
      <c r="J79" s="494"/>
      <c r="K79" s="494"/>
      <c r="L79" s="486">
        <f>$E$57*$F$57^((D79-$H$57+$I$57*$J$57)/($K$57*$L$57))</f>
        <v>0.3459656917135998</v>
      </c>
      <c r="M79" s="486"/>
      <c r="N79" s="486"/>
      <c r="O79" s="495"/>
      <c r="P79" s="495"/>
      <c r="Q79" s="495"/>
      <c r="R79" s="488">
        <f>L79</f>
        <v>0.3459656917135998</v>
      </c>
      <c r="S79" s="489"/>
      <c r="T79" s="490"/>
      <c r="Y79" s="416" t="s">
        <v>397</v>
      </c>
    </row>
    <row r="80" spans="3:20" ht="14.25">
      <c r="C80" s="413"/>
      <c r="D80" s="482">
        <v>7</v>
      </c>
      <c r="E80" s="482"/>
      <c r="F80" s="409"/>
      <c r="G80" s="409"/>
      <c r="H80" s="409"/>
      <c r="I80" s="494"/>
      <c r="J80" s="494"/>
      <c r="K80" s="494"/>
      <c r="L80" s="486">
        <f>$E$57*$F$57^((D80-$H$57+$I$57*$J$57)/($K$57*$L$57))</f>
        <v>0.25472258495692024</v>
      </c>
      <c r="M80" s="486"/>
      <c r="N80" s="486"/>
      <c r="O80" s="494"/>
      <c r="P80" s="494"/>
      <c r="Q80" s="494"/>
      <c r="R80" s="488">
        <f>L80</f>
        <v>0.25472258495692024</v>
      </c>
      <c r="S80" s="489"/>
      <c r="T80" s="490"/>
    </row>
    <row r="81" spans="3:20" ht="14.25">
      <c r="C81" s="413"/>
      <c r="D81" s="482">
        <v>8</v>
      </c>
      <c r="E81" s="482"/>
      <c r="F81" s="409"/>
      <c r="G81" s="409"/>
      <c r="H81" s="409"/>
      <c r="I81" s="494"/>
      <c r="J81" s="494"/>
      <c r="K81" s="494"/>
      <c r="L81" s="486">
        <f>$E$57*$F$57^((D81-$H$57+$I$57*$J$57)/($K$57*$L$57))</f>
        <v>0.18754343809572857</v>
      </c>
      <c r="M81" s="486"/>
      <c r="N81" s="486"/>
      <c r="O81" s="494"/>
      <c r="P81" s="494"/>
      <c r="Q81" s="494"/>
      <c r="R81" s="488">
        <f>L81</f>
        <v>0.18754343809572857</v>
      </c>
      <c r="S81" s="489"/>
      <c r="T81" s="490"/>
    </row>
    <row r="82" spans="3:26" ht="14.25">
      <c r="C82" s="413"/>
      <c r="D82" s="482">
        <v>9</v>
      </c>
      <c r="E82" s="482"/>
      <c r="F82" s="409"/>
      <c r="G82" s="409"/>
      <c r="H82" s="409"/>
      <c r="I82" s="494"/>
      <c r="J82" s="494"/>
      <c r="K82" s="494"/>
      <c r="L82" s="486">
        <f>$E$57*$F$57^((D82-$H$57+$I$57*$J$57)/($K$57*$L$57))</f>
        <v>0.13808175344449689</v>
      </c>
      <c r="M82" s="486"/>
      <c r="N82" s="486"/>
      <c r="O82" s="494"/>
      <c r="P82" s="494"/>
      <c r="Q82" s="494"/>
      <c r="R82" s="488">
        <f>L82</f>
        <v>0.13808175344449689</v>
      </c>
      <c r="S82" s="489"/>
      <c r="T82" s="490"/>
      <c r="Y82" s="496" t="s">
        <v>398</v>
      </c>
      <c r="Z82" s="442">
        <f>M34</f>
        <v>1.2581556235174625</v>
      </c>
    </row>
    <row r="83" spans="3:20" ht="14.25">
      <c r="C83" s="413"/>
      <c r="D83" s="488">
        <f>E56</f>
        <v>9.64798289</v>
      </c>
      <c r="E83" s="490"/>
      <c r="F83" s="409"/>
      <c r="G83" s="409"/>
      <c r="H83" s="409"/>
      <c r="I83" s="494"/>
      <c r="J83" s="494"/>
      <c r="K83" s="494"/>
      <c r="L83" s="486">
        <f>$E$57*$F$57^((D83-$H$57+$I$57*$J$57)/($K$57*$L$57))</f>
        <v>0.11323400611657154</v>
      </c>
      <c r="M83" s="486"/>
      <c r="N83" s="486"/>
      <c r="O83" s="494"/>
      <c r="P83" s="494"/>
      <c r="Q83" s="494"/>
      <c r="R83" s="488">
        <f>L83</f>
        <v>0.11323400611657154</v>
      </c>
      <c r="S83" s="489"/>
      <c r="T83" s="490"/>
    </row>
    <row r="84" spans="3:20" ht="14.25">
      <c r="C84" s="413"/>
      <c r="D84" s="482">
        <v>10</v>
      </c>
      <c r="E84" s="482"/>
      <c r="F84" s="409"/>
      <c r="G84" s="409"/>
      <c r="H84" s="409"/>
      <c r="I84" s="494"/>
      <c r="J84" s="494"/>
      <c r="K84" s="494"/>
      <c r="L84" s="494"/>
      <c r="M84" s="494"/>
      <c r="N84" s="494"/>
      <c r="O84" s="486">
        <f aca="true" t="shared" si="0" ref="O84:O93">$E$62*$F$62^((D84-$H$62+$I$62*$J$62)/($K$62*$L$62))</f>
        <v>0.10444129620055444</v>
      </c>
      <c r="P84" s="486"/>
      <c r="Q84" s="486"/>
      <c r="R84" s="488">
        <f aca="true" t="shared" si="1" ref="R84:R98">O84</f>
        <v>0.10444129620055444</v>
      </c>
      <c r="S84" s="489"/>
      <c r="T84" s="490"/>
    </row>
    <row r="85" spans="3:29" ht="14.25">
      <c r="C85" s="413"/>
      <c r="D85" s="482">
        <v>11</v>
      </c>
      <c r="E85" s="482"/>
      <c r="F85" s="409"/>
      <c r="G85" s="409"/>
      <c r="H85" s="409"/>
      <c r="I85" s="494"/>
      <c r="J85" s="494"/>
      <c r="K85" s="494"/>
      <c r="L85" s="494"/>
      <c r="M85" s="494"/>
      <c r="N85" s="494"/>
      <c r="O85" s="486">
        <f t="shared" si="0"/>
        <v>0.08301337446144315</v>
      </c>
      <c r="P85" s="486"/>
      <c r="Q85" s="486"/>
      <c r="R85" s="488">
        <f t="shared" si="1"/>
        <v>0.08301337446144315</v>
      </c>
      <c r="S85" s="489"/>
      <c r="T85" s="490"/>
      <c r="AB85" s="416" t="s">
        <v>399</v>
      </c>
      <c r="AC85" s="497">
        <f>E52</f>
        <v>0.8298860821192442</v>
      </c>
    </row>
    <row r="86" spans="3:20" ht="14.25">
      <c r="C86" s="413"/>
      <c r="D86" s="482">
        <v>12</v>
      </c>
      <c r="E86" s="482"/>
      <c r="F86" s="409"/>
      <c r="G86" s="409"/>
      <c r="H86" s="409"/>
      <c r="I86" s="494"/>
      <c r="J86" s="494"/>
      <c r="K86" s="494"/>
      <c r="L86" s="494"/>
      <c r="M86" s="494"/>
      <c r="N86" s="494"/>
      <c r="O86" s="486">
        <f t="shared" si="0"/>
        <v>0.06598175808008781</v>
      </c>
      <c r="P86" s="486"/>
      <c r="Q86" s="486"/>
      <c r="R86" s="488">
        <f t="shared" si="1"/>
        <v>0.06598175808008781</v>
      </c>
      <c r="S86" s="489"/>
      <c r="T86" s="490"/>
    </row>
    <row r="87" spans="3:39" ht="14.25">
      <c r="C87" s="413"/>
      <c r="D87" s="482">
        <v>13</v>
      </c>
      <c r="E87" s="482"/>
      <c r="F87" s="409"/>
      <c r="G87" s="409"/>
      <c r="H87" s="409"/>
      <c r="I87" s="494"/>
      <c r="J87" s="494"/>
      <c r="K87" s="494"/>
      <c r="L87" s="494"/>
      <c r="M87" s="494"/>
      <c r="N87" s="494"/>
      <c r="O87" s="486">
        <f t="shared" si="0"/>
        <v>0.05244446967230958</v>
      </c>
      <c r="P87" s="486"/>
      <c r="Q87" s="486"/>
      <c r="R87" s="488">
        <f t="shared" si="1"/>
        <v>0.05244446967230958</v>
      </c>
      <c r="S87" s="489"/>
      <c r="T87" s="490"/>
      <c r="AF87" s="413" t="s">
        <v>400</v>
      </c>
      <c r="AG87" s="498">
        <f>E58</f>
        <v>0.3459656917135998</v>
      </c>
      <c r="AL87" s="496" t="s">
        <v>401</v>
      </c>
      <c r="AM87" s="499">
        <f>E63</f>
        <v>0.10444129620055444</v>
      </c>
    </row>
    <row r="88" spans="3:20" ht="14.25">
      <c r="C88" s="413"/>
      <c r="D88" s="482">
        <v>14</v>
      </c>
      <c r="E88" s="482"/>
      <c r="F88" s="409"/>
      <c r="G88" s="409"/>
      <c r="H88" s="409"/>
      <c r="I88" s="494"/>
      <c r="J88" s="494"/>
      <c r="K88" s="494"/>
      <c r="L88" s="494"/>
      <c r="M88" s="494"/>
      <c r="N88" s="494"/>
      <c r="O88" s="486">
        <f t="shared" si="0"/>
        <v>0.04168458797159317</v>
      </c>
      <c r="P88" s="486"/>
      <c r="Q88" s="486"/>
      <c r="R88" s="488">
        <f t="shared" si="1"/>
        <v>0.04168458797159317</v>
      </c>
      <c r="S88" s="489"/>
      <c r="T88" s="490"/>
    </row>
    <row r="89" spans="3:20" ht="14.25">
      <c r="C89" s="413"/>
      <c r="D89" s="482">
        <v>15</v>
      </c>
      <c r="E89" s="482"/>
      <c r="F89" s="409"/>
      <c r="G89" s="409"/>
      <c r="H89" s="409"/>
      <c r="I89" s="494"/>
      <c r="J89" s="494"/>
      <c r="K89" s="494"/>
      <c r="L89" s="494"/>
      <c r="M89" s="494"/>
      <c r="N89" s="494"/>
      <c r="O89" s="486">
        <f t="shared" si="0"/>
        <v>0.03313228039521844</v>
      </c>
      <c r="P89" s="486"/>
      <c r="Q89" s="486"/>
      <c r="R89" s="488">
        <f t="shared" si="1"/>
        <v>0.03313228039521844</v>
      </c>
      <c r="S89" s="489"/>
      <c r="T89" s="490"/>
    </row>
    <row r="90" spans="3:20" ht="14.25">
      <c r="C90" s="413"/>
      <c r="D90" s="482">
        <v>16</v>
      </c>
      <c r="E90" s="482"/>
      <c r="F90" s="409"/>
      <c r="G90" s="409"/>
      <c r="H90" s="409"/>
      <c r="I90" s="494"/>
      <c r="J90" s="494"/>
      <c r="K90" s="494"/>
      <c r="L90" s="494"/>
      <c r="M90" s="494"/>
      <c r="N90" s="494"/>
      <c r="O90" s="486">
        <f t="shared" si="0"/>
        <v>0.026334625280102514</v>
      </c>
      <c r="P90" s="486"/>
      <c r="Q90" s="486"/>
      <c r="R90" s="488">
        <f t="shared" si="1"/>
        <v>0.026334625280102514</v>
      </c>
      <c r="S90" s="489"/>
      <c r="T90" s="490"/>
    </row>
    <row r="91" spans="3:38" ht="14.25">
      <c r="C91" s="413"/>
      <c r="D91" s="482">
        <v>17</v>
      </c>
      <c r="E91" s="482"/>
      <c r="F91" s="409"/>
      <c r="G91" s="409"/>
      <c r="H91" s="409"/>
      <c r="I91" s="494"/>
      <c r="J91" s="494"/>
      <c r="K91" s="494"/>
      <c r="L91" s="494"/>
      <c r="M91" s="494"/>
      <c r="N91" s="494"/>
      <c r="O91" s="486">
        <f t="shared" si="0"/>
        <v>0.020931625604119333</v>
      </c>
      <c r="P91" s="486"/>
      <c r="Q91" s="486"/>
      <c r="R91" s="488">
        <f t="shared" si="1"/>
        <v>0.020931625604119333</v>
      </c>
      <c r="S91" s="489"/>
      <c r="T91" s="490"/>
      <c r="Z91" s="497">
        <f>E25</f>
        <v>3.09392149</v>
      </c>
      <c r="AC91" s="497">
        <f>I50</f>
        <v>5.71554605</v>
      </c>
      <c r="AG91" s="498">
        <f>E56</f>
        <v>9.64798289</v>
      </c>
      <c r="AL91" s="500">
        <f>O98</f>
        <v>0.004195016400310614</v>
      </c>
    </row>
    <row r="92" spans="3:20" ht="14.25">
      <c r="C92" s="413"/>
      <c r="D92" s="482">
        <v>18</v>
      </c>
      <c r="E92" s="482"/>
      <c r="F92" s="409"/>
      <c r="G92" s="409"/>
      <c r="H92" s="409"/>
      <c r="I92" s="494"/>
      <c r="J92" s="494"/>
      <c r="K92" s="494"/>
      <c r="L92" s="494"/>
      <c r="M92" s="494"/>
      <c r="N92" s="494"/>
      <c r="O92" s="486">
        <f t="shared" si="0"/>
        <v>0.01663714390354593</v>
      </c>
      <c r="P92" s="486"/>
      <c r="Q92" s="486"/>
      <c r="R92" s="488">
        <f t="shared" si="1"/>
        <v>0.01663714390354593</v>
      </c>
      <c r="S92" s="489"/>
      <c r="T92" s="490"/>
    </row>
    <row r="93" spans="3:20" ht="14.25">
      <c r="C93" s="413"/>
      <c r="D93" s="482">
        <v>19</v>
      </c>
      <c r="E93" s="482"/>
      <c r="F93" s="409"/>
      <c r="G93" s="409"/>
      <c r="H93" s="409"/>
      <c r="I93" s="494"/>
      <c r="J93" s="494"/>
      <c r="K93" s="494"/>
      <c r="L93" s="494"/>
      <c r="M93" s="494"/>
      <c r="N93" s="494"/>
      <c r="O93" s="486">
        <f t="shared" si="0"/>
        <v>0.013223748718915672</v>
      </c>
      <c r="P93" s="486"/>
      <c r="Q93" s="486"/>
      <c r="R93" s="488">
        <f t="shared" si="1"/>
        <v>0.013223748718915672</v>
      </c>
      <c r="S93" s="489"/>
      <c r="T93" s="490"/>
    </row>
    <row r="94" spans="3:20" ht="14.25">
      <c r="C94" s="413"/>
      <c r="D94" s="482">
        <v>20</v>
      </c>
      <c r="E94" s="482"/>
      <c r="F94" s="409"/>
      <c r="G94" s="409"/>
      <c r="H94" s="409"/>
      <c r="I94" s="494"/>
      <c r="J94" s="494"/>
      <c r="K94" s="494"/>
      <c r="L94" s="494"/>
      <c r="M94" s="494"/>
      <c r="N94" s="494"/>
      <c r="O94" s="486">
        <f>$E$62*$F$62^((D94-$H$62+$I$62*$J$62)/($K$62*$L$62))</f>
        <v>0.010510670052192892</v>
      </c>
      <c r="P94" s="486"/>
      <c r="Q94" s="486"/>
      <c r="R94" s="488">
        <f t="shared" si="1"/>
        <v>0.010510670052192892</v>
      </c>
      <c r="S94" s="489"/>
      <c r="T94" s="490"/>
    </row>
    <row r="95" spans="3:20" ht="14.25">
      <c r="C95" s="413"/>
      <c r="D95" s="482">
        <v>21</v>
      </c>
      <c r="E95" s="482"/>
      <c r="F95" s="409"/>
      <c r="G95" s="409"/>
      <c r="H95" s="409"/>
      <c r="I95" s="494"/>
      <c r="J95" s="494"/>
      <c r="K95" s="494"/>
      <c r="L95" s="494"/>
      <c r="M95" s="494"/>
      <c r="N95" s="494"/>
      <c r="O95" s="486">
        <f aca="true" t="shared" si="2" ref="O95:O104">$E$62*$F$62^((D95-$H$62+$I$62*$J$62)/($K$62*$L$62))</f>
        <v>0.008354225968317048</v>
      </c>
      <c r="P95" s="486"/>
      <c r="Q95" s="486"/>
      <c r="R95" s="488">
        <f t="shared" si="1"/>
        <v>0.008354225968317048</v>
      </c>
      <c r="S95" s="489"/>
      <c r="T95" s="490"/>
    </row>
    <row r="96" spans="3:20" ht="14.25">
      <c r="C96" s="413"/>
      <c r="D96" s="482">
        <v>22</v>
      </c>
      <c r="E96" s="482"/>
      <c r="F96" s="409"/>
      <c r="G96" s="409"/>
      <c r="H96" s="409"/>
      <c r="I96" s="494"/>
      <c r="J96" s="494"/>
      <c r="K96" s="494"/>
      <c r="L96" s="494"/>
      <c r="M96" s="494"/>
      <c r="N96" s="494"/>
      <c r="O96" s="486">
        <f t="shared" si="2"/>
        <v>0.00664021334350055</v>
      </c>
      <c r="P96" s="486"/>
      <c r="Q96" s="486"/>
      <c r="R96" s="488">
        <f t="shared" si="1"/>
        <v>0.00664021334350055</v>
      </c>
      <c r="S96" s="489"/>
      <c r="T96" s="490"/>
    </row>
    <row r="97" spans="3:20" ht="14.25">
      <c r="C97" s="413"/>
      <c r="D97" s="482">
        <v>23</v>
      </c>
      <c r="E97" s="482"/>
      <c r="F97" s="409"/>
      <c r="G97" s="409"/>
      <c r="H97" s="409"/>
      <c r="I97" s="494"/>
      <c r="J97" s="494"/>
      <c r="K97" s="494"/>
      <c r="L97" s="494"/>
      <c r="M97" s="494"/>
      <c r="N97" s="494"/>
      <c r="O97" s="486">
        <f t="shared" si="2"/>
        <v>0.005277859781914084</v>
      </c>
      <c r="P97" s="486"/>
      <c r="Q97" s="486"/>
      <c r="R97" s="488">
        <f t="shared" si="1"/>
        <v>0.005277859781914084</v>
      </c>
      <c r="S97" s="489"/>
      <c r="T97" s="490"/>
    </row>
    <row r="98" spans="3:22" ht="14.25">
      <c r="C98" s="413"/>
      <c r="D98" s="501">
        <v>24</v>
      </c>
      <c r="E98" s="501"/>
      <c r="F98" s="411"/>
      <c r="G98" s="411"/>
      <c r="H98" s="411"/>
      <c r="I98" s="502"/>
      <c r="J98" s="502"/>
      <c r="K98" s="502"/>
      <c r="L98" s="502"/>
      <c r="M98" s="502"/>
      <c r="N98" s="502"/>
      <c r="O98" s="503">
        <f t="shared" si="2"/>
        <v>0.004195016400310614</v>
      </c>
      <c r="P98" s="503"/>
      <c r="Q98" s="503"/>
      <c r="R98" s="504">
        <f t="shared" si="1"/>
        <v>0.004195016400310614</v>
      </c>
      <c r="S98" s="505"/>
      <c r="T98" s="506"/>
      <c r="V98" s="471"/>
    </row>
    <row r="99" spans="3:20" ht="14.25">
      <c r="C99" s="413"/>
      <c r="D99" s="482">
        <v>25</v>
      </c>
      <c r="E99" s="482"/>
      <c r="F99" s="409"/>
      <c r="G99" s="409"/>
      <c r="H99" s="409"/>
      <c r="I99" s="507"/>
      <c r="J99" s="507"/>
      <c r="K99" s="507"/>
      <c r="L99" s="409"/>
      <c r="M99" s="409"/>
      <c r="N99" s="409"/>
      <c r="O99" s="409"/>
      <c r="P99" s="409"/>
      <c r="Q99" s="409"/>
      <c r="R99" s="508"/>
      <c r="S99" s="487"/>
      <c r="T99" s="487"/>
    </row>
    <row r="100" spans="3:20" ht="14.25">
      <c r="C100" s="413"/>
      <c r="D100" s="482">
        <v>26</v>
      </c>
      <c r="E100" s="482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87"/>
      <c r="S100" s="487"/>
      <c r="T100" s="487"/>
    </row>
    <row r="101" spans="3:20" ht="14.25">
      <c r="C101" s="413"/>
      <c r="D101" s="482">
        <v>27</v>
      </c>
      <c r="E101" s="482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87"/>
      <c r="S101" s="487"/>
      <c r="T101" s="487"/>
    </row>
    <row r="102" spans="3:20" ht="14.25">
      <c r="C102" s="413"/>
      <c r="D102" s="482">
        <v>28</v>
      </c>
      <c r="E102" s="482"/>
      <c r="F102" s="409">
        <f>$E$45*(D102/$E$46)^$I$45</f>
        <v>248.7089102707319</v>
      </c>
      <c r="G102" s="409"/>
      <c r="H102" s="409"/>
      <c r="I102" s="409">
        <f>$E$51*$G$51^((D102-$I$51)/$J$51)</f>
        <v>1.3559934784697692E-05</v>
      </c>
      <c r="J102" s="409"/>
      <c r="K102" s="409"/>
      <c r="L102" s="409">
        <f>$E$57*$F$57^((D102-$H$57+$I$57*$J$57)/($K$57*$L$57))</f>
        <v>0.0004109512191255013</v>
      </c>
      <c r="M102" s="409"/>
      <c r="N102" s="409"/>
      <c r="O102" s="409">
        <f t="shared" si="2"/>
        <v>0.0016743140552874093</v>
      </c>
      <c r="P102" s="409"/>
      <c r="Q102" s="409"/>
      <c r="R102" s="487"/>
      <c r="S102" s="487"/>
      <c r="T102" s="487"/>
    </row>
    <row r="103" spans="3:20" ht="14.25">
      <c r="C103" s="413"/>
      <c r="D103" s="482">
        <v>29</v>
      </c>
      <c r="E103" s="482"/>
      <c r="F103" s="409">
        <f>$E$45*(D103/$E$46)^$I$45</f>
        <v>270.56228893366807</v>
      </c>
      <c r="G103" s="409"/>
      <c r="H103" s="409"/>
      <c r="I103" s="409">
        <f>$E$51*$G$51^((D103-$I$51)/$J$51)</f>
        <v>8.566614635149858E-06</v>
      </c>
      <c r="J103" s="409"/>
      <c r="K103" s="409"/>
      <c r="L103" s="409">
        <f>$E$57*$F$57^((D103-$H$57+$I$57*$J$57)/($K$57*$L$57))</f>
        <v>0.0003025691834018657</v>
      </c>
      <c r="M103" s="409"/>
      <c r="N103" s="409"/>
      <c r="O103" s="409">
        <f t="shared" si="2"/>
        <v>0.0013307998339156313</v>
      </c>
      <c r="P103" s="409"/>
      <c r="Q103" s="409"/>
      <c r="R103" s="487"/>
      <c r="S103" s="487"/>
      <c r="T103" s="487"/>
    </row>
    <row r="104" spans="3:20" ht="14.25">
      <c r="C104" s="413"/>
      <c r="D104" s="482">
        <v>30</v>
      </c>
      <c r="E104" s="482"/>
      <c r="F104" s="409">
        <f>$E$45*(D104/$E$46)^$I$45</f>
        <v>293.49660418162864</v>
      </c>
      <c r="G104" s="409"/>
      <c r="H104" s="409"/>
      <c r="I104" s="409">
        <f>$E$51*$G$51^((D104-$I$51)/$J$51)</f>
        <v>5.412038293132533E-06</v>
      </c>
      <c r="J104" s="409"/>
      <c r="K104" s="409"/>
      <c r="L104" s="409">
        <f>$E$57*$F$57^((D104-$H$57+$I$57*$J$57)/($K$57*$L$57))</f>
        <v>0.00022277123532881804</v>
      </c>
      <c r="M104" s="409"/>
      <c r="N104" s="409"/>
      <c r="O104" s="409">
        <f t="shared" si="2"/>
        <v>0.0010577634419044876</v>
      </c>
      <c r="P104" s="409"/>
      <c r="Q104" s="409"/>
      <c r="R104" s="487"/>
      <c r="S104" s="487"/>
      <c r="T104" s="487"/>
    </row>
    <row r="105" spans="3:20" ht="14.25">
      <c r="C105" s="413"/>
      <c r="D105" s="482">
        <v>31</v>
      </c>
      <c r="E105" s="482"/>
      <c r="F105" s="387"/>
      <c r="G105" s="387"/>
      <c r="H105" s="387"/>
      <c r="I105" s="409"/>
      <c r="J105" s="409"/>
      <c r="K105" s="409"/>
      <c r="L105" s="409"/>
      <c r="M105" s="409"/>
      <c r="N105" s="409"/>
      <c r="O105" s="409"/>
      <c r="P105" s="409"/>
      <c r="Q105" s="409"/>
      <c r="R105" s="487"/>
      <c r="S105" s="487"/>
      <c r="T105" s="487"/>
    </row>
    <row r="106" spans="3:20" ht="14.25">
      <c r="C106" s="413"/>
      <c r="D106" s="482">
        <v>32</v>
      </c>
      <c r="E106" s="482"/>
      <c r="F106" s="387"/>
      <c r="G106" s="387"/>
      <c r="H106" s="387"/>
      <c r="I106" s="409"/>
      <c r="J106" s="409"/>
      <c r="K106" s="409"/>
      <c r="L106" s="409"/>
      <c r="M106" s="409"/>
      <c r="N106" s="409"/>
      <c r="O106" s="409"/>
      <c r="P106" s="409"/>
      <c r="Q106" s="409"/>
      <c r="R106" s="487"/>
      <c r="S106" s="487"/>
      <c r="T106" s="487"/>
    </row>
    <row r="107" spans="3:20" ht="14.25">
      <c r="C107" s="413"/>
      <c r="D107" s="482">
        <v>33</v>
      </c>
      <c r="E107" s="482"/>
      <c r="F107" s="387"/>
      <c r="G107" s="387"/>
      <c r="H107" s="387"/>
      <c r="I107" s="409"/>
      <c r="J107" s="409"/>
      <c r="K107" s="409"/>
      <c r="L107" s="409"/>
      <c r="M107" s="409"/>
      <c r="N107" s="409"/>
      <c r="O107" s="409"/>
      <c r="P107" s="409"/>
      <c r="Q107" s="409"/>
      <c r="R107" s="487"/>
      <c r="S107" s="487"/>
      <c r="T107" s="487"/>
    </row>
    <row r="108" spans="3:20" ht="14.25">
      <c r="C108" s="413"/>
      <c r="D108" s="482">
        <v>34</v>
      </c>
      <c r="E108" s="482"/>
      <c r="F108" s="387"/>
      <c r="G108" s="387"/>
      <c r="H108" s="387"/>
      <c r="I108" s="409"/>
      <c r="J108" s="409"/>
      <c r="K108" s="409"/>
      <c r="L108" s="409"/>
      <c r="M108" s="409"/>
      <c r="N108" s="409"/>
      <c r="O108" s="409"/>
      <c r="P108" s="409"/>
      <c r="Q108" s="409"/>
      <c r="R108" s="487"/>
      <c r="S108" s="487"/>
      <c r="T108" s="487"/>
    </row>
    <row r="109" spans="3:20" ht="14.25">
      <c r="C109" s="413"/>
      <c r="D109" s="501">
        <v>35</v>
      </c>
      <c r="E109" s="501"/>
      <c r="F109" s="376"/>
      <c r="G109" s="376"/>
      <c r="H109" s="376"/>
      <c r="I109" s="411"/>
      <c r="J109" s="411"/>
      <c r="K109" s="411"/>
      <c r="L109" s="411"/>
      <c r="M109" s="411"/>
      <c r="N109" s="411"/>
      <c r="O109" s="411"/>
      <c r="P109" s="411"/>
      <c r="Q109" s="411"/>
      <c r="R109" s="509"/>
      <c r="S109" s="509"/>
      <c r="T109" s="509"/>
    </row>
    <row r="112" spans="7:12" ht="14.25">
      <c r="G112" s="448"/>
      <c r="H112" s="448"/>
      <c r="I112" s="510"/>
      <c r="J112" s="510"/>
      <c r="K112" s="510"/>
      <c r="L112" s="510"/>
    </row>
    <row r="113" spans="5:16" ht="14.25">
      <c r="E113" s="511"/>
      <c r="F113" s="511"/>
      <c r="P113" s="443"/>
    </row>
    <row r="114" spans="2:12" ht="14.25">
      <c r="B114" s="412">
        <f>Rekap!B171</f>
        <v>5</v>
      </c>
      <c r="G114" s="417"/>
      <c r="H114" s="417"/>
      <c r="I114" s="416"/>
      <c r="J114" s="416"/>
      <c r="K114" s="416"/>
      <c r="L114" s="416"/>
    </row>
    <row r="115" spans="2:16" ht="14.25">
      <c r="B115" s="412"/>
      <c r="D115" s="512" t="s">
        <v>366</v>
      </c>
      <c r="E115" s="512" t="s">
        <v>278</v>
      </c>
      <c r="F115" s="512"/>
      <c r="G115" s="513" t="s">
        <v>381</v>
      </c>
      <c r="H115" s="513"/>
      <c r="I115" s="513"/>
      <c r="J115" s="513"/>
      <c r="K115" s="513"/>
      <c r="L115" s="513"/>
      <c r="M115" s="514" t="s">
        <v>382</v>
      </c>
      <c r="N115" s="514"/>
      <c r="O115" s="513" t="s">
        <v>383</v>
      </c>
      <c r="P115" s="515" t="s">
        <v>384</v>
      </c>
    </row>
    <row r="116" spans="4:16" ht="14.25">
      <c r="D116" s="512"/>
      <c r="E116" s="512"/>
      <c r="F116" s="512"/>
      <c r="G116" s="516">
        <v>1</v>
      </c>
      <c r="H116" s="516">
        <v>2</v>
      </c>
      <c r="I116" s="516">
        <v>3</v>
      </c>
      <c r="J116" s="516">
        <v>4</v>
      </c>
      <c r="K116" s="516">
        <v>5</v>
      </c>
      <c r="L116" s="516">
        <v>6</v>
      </c>
      <c r="M116" s="514"/>
      <c r="N116" s="514"/>
      <c r="O116" s="513"/>
      <c r="P116" s="515"/>
    </row>
    <row r="117" spans="4:16" ht="14.25">
      <c r="D117" s="512"/>
      <c r="E117" s="512"/>
      <c r="F117" s="512"/>
      <c r="G117" s="516">
        <f>Rekap!D171</f>
        <v>259.4933160698316</v>
      </c>
      <c r="H117" s="516">
        <f>Rekap!E171</f>
        <v>70.57813776312159</v>
      </c>
      <c r="I117" s="516">
        <f>Rekap!F171</f>
        <v>51.86837131660698</v>
      </c>
      <c r="J117" s="516">
        <f>Rekap!G171</f>
        <v>33.0071453832953</v>
      </c>
      <c r="K117" s="516">
        <f>Rekap!H171</f>
        <v>33.0071453832953</v>
      </c>
      <c r="L117" s="516">
        <f>Rekap!I171</f>
        <v>23.576532416639537</v>
      </c>
      <c r="M117" s="514"/>
      <c r="N117" s="514"/>
      <c r="O117" s="513"/>
      <c r="P117" s="515"/>
    </row>
    <row r="118" spans="4:16" ht="14.25">
      <c r="D118" s="517">
        <f>$D$71</f>
        <v>0</v>
      </c>
      <c r="E118" s="518">
        <f>$F$71</f>
        <v>0</v>
      </c>
      <c r="F118" s="518"/>
      <c r="G118" s="519">
        <f>G117</f>
        <v>259.4933160698316</v>
      </c>
      <c r="H118" s="500"/>
      <c r="I118" s="500"/>
      <c r="J118" s="500"/>
      <c r="K118" s="500"/>
      <c r="L118" s="500"/>
      <c r="M118" s="518">
        <f>SUM(G118:L118)</f>
        <v>259.4933160698316</v>
      </c>
      <c r="N118" s="518"/>
      <c r="O118" s="519">
        <f>$E$38</f>
        <v>0.6290778117587312</v>
      </c>
      <c r="P118" s="498">
        <f>M118+O118</f>
        <v>260.12239388159037</v>
      </c>
    </row>
    <row r="119" spans="4:16" ht="14.25">
      <c r="D119" s="517">
        <f>$D$72</f>
        <v>1</v>
      </c>
      <c r="E119" s="518">
        <f>$F$72</f>
        <v>0.08365888449340493</v>
      </c>
      <c r="F119" s="518"/>
      <c r="G119" s="500">
        <f>E119*$G$117</f>
        <v>21.70892135589666</v>
      </c>
      <c r="H119" s="500">
        <v>0</v>
      </c>
      <c r="I119" s="500"/>
      <c r="J119" s="500"/>
      <c r="K119" s="500"/>
      <c r="L119" s="500"/>
      <c r="M119" s="518">
        <f aca="true" t="shared" si="3" ref="M119:M144">SUM(G119:L119)</f>
        <v>21.70892135589666</v>
      </c>
      <c r="N119" s="518"/>
      <c r="O119" s="519">
        <f aca="true" t="shared" si="4" ref="O119:O145">$E$38</f>
        <v>0.6290778117587312</v>
      </c>
      <c r="P119" s="498">
        <f aca="true" t="shared" si="5" ref="P119:P144">M119+O119</f>
        <v>22.33799916765539</v>
      </c>
    </row>
    <row r="120" spans="4:16" ht="14.25">
      <c r="D120" s="517">
        <f>$D$73</f>
        <v>2</v>
      </c>
      <c r="E120" s="518">
        <f>$F$73</f>
        <v>0.4415542395819344</v>
      </c>
      <c r="F120" s="518"/>
      <c r="G120" s="520">
        <f aca="true" t="shared" si="6" ref="G120:G145">E120*$G$117</f>
        <v>114.58037385380906</v>
      </c>
      <c r="H120" s="500">
        <f>E119*$H$117</f>
        <v>5.90448827488461</v>
      </c>
      <c r="I120" s="500">
        <v>0</v>
      </c>
      <c r="J120" s="500"/>
      <c r="K120" s="500"/>
      <c r="L120" s="500"/>
      <c r="M120" s="518">
        <f t="shared" si="3"/>
        <v>120.48486212869368</v>
      </c>
      <c r="N120" s="518"/>
      <c r="O120" s="519">
        <f t="shared" si="4"/>
        <v>0.6290778117587312</v>
      </c>
      <c r="P120" s="521">
        <f t="shared" si="5"/>
        <v>121.11393994045241</v>
      </c>
    </row>
    <row r="121" spans="4:16" ht="14.25">
      <c r="D121" s="517">
        <f>$D$74</f>
        <v>3</v>
      </c>
      <c r="E121" s="518">
        <f>$F$74</f>
        <v>1.1684310265780802</v>
      </c>
      <c r="F121" s="518"/>
      <c r="G121" s="520">
        <f t="shared" si="6"/>
        <v>303.2000416856236</v>
      </c>
      <c r="H121" s="500">
        <f aca="true" t="shared" si="7" ref="H121:H145">E120*$H$117</f>
        <v>31.164075951104163</v>
      </c>
      <c r="I121" s="500">
        <f>E119*$I$117</f>
        <v>4.339250084837061</v>
      </c>
      <c r="J121" s="500">
        <v>0</v>
      </c>
      <c r="K121" s="500"/>
      <c r="L121" s="500"/>
      <c r="M121" s="518">
        <f t="shared" si="3"/>
        <v>338.7033677215648</v>
      </c>
      <c r="N121" s="518"/>
      <c r="O121" s="519">
        <f t="shared" si="4"/>
        <v>0.6290778117587312</v>
      </c>
      <c r="P121" s="521">
        <f t="shared" si="5"/>
        <v>339.33244553332355</v>
      </c>
    </row>
    <row r="122" spans="4:16" ht="14.25">
      <c r="D122" s="500">
        <f>$D$75</f>
        <v>3.09392149</v>
      </c>
      <c r="E122" s="518">
        <f>$F$75</f>
        <v>1.2581556235174625</v>
      </c>
      <c r="F122" s="518"/>
      <c r="G122" s="520">
        <f t="shared" si="6"/>
        <v>326.482974878453</v>
      </c>
      <c r="H122" s="500">
        <f t="shared" si="7"/>
        <v>82.46568596053332</v>
      </c>
      <c r="I122" s="500">
        <f aca="true" t="shared" si="8" ref="I122:I145">E120*$I$117</f>
        <v>22.902699255057815</v>
      </c>
      <c r="J122" s="500">
        <f>E119*$J$117</f>
        <v>2.7613409630781254</v>
      </c>
      <c r="K122" s="500">
        <v>0</v>
      </c>
      <c r="L122" s="500"/>
      <c r="M122" s="518">
        <f t="shared" si="3"/>
        <v>434.61270105712225</v>
      </c>
      <c r="N122" s="518"/>
      <c r="O122" s="519">
        <f t="shared" si="4"/>
        <v>0.6290778117587312</v>
      </c>
      <c r="P122" s="521">
        <f t="shared" si="5"/>
        <v>435.241778868881</v>
      </c>
    </row>
    <row r="123" spans="4:16" ht="14.25">
      <c r="D123" s="517">
        <f>$D$76</f>
        <v>4</v>
      </c>
      <c r="E123" s="518">
        <f>$I$76</f>
        <v>0.8298860821192442</v>
      </c>
      <c r="F123" s="518"/>
      <c r="G123" s="520">
        <f t="shared" si="6"/>
        <v>215.34989140932328</v>
      </c>
      <c r="H123" s="500">
        <f t="shared" si="7"/>
        <v>88.7982809240616</v>
      </c>
      <c r="I123" s="500">
        <f t="shared" si="8"/>
        <v>60.60461434439615</v>
      </c>
      <c r="J123" s="500">
        <f aca="true" t="shared" si="9" ref="J123:J145">E120*$J$117</f>
        <v>14.574444980491315</v>
      </c>
      <c r="K123" s="500">
        <f>E119*$K$117</f>
        <v>2.7613409630781254</v>
      </c>
      <c r="L123" s="500">
        <v>0</v>
      </c>
      <c r="M123" s="518">
        <f>SUM(G123:L123)</f>
        <v>382.08857262135047</v>
      </c>
      <c r="N123" s="518"/>
      <c r="O123" s="519">
        <f t="shared" si="4"/>
        <v>0.6290778117587312</v>
      </c>
      <c r="P123" s="521">
        <f t="shared" si="5"/>
        <v>382.7176504331092</v>
      </c>
    </row>
    <row r="124" spans="4:16" ht="14.25">
      <c r="D124" s="517">
        <f>$D$77</f>
        <v>5</v>
      </c>
      <c r="E124" s="518">
        <f>$I$77</f>
        <v>0.5242882336434767</v>
      </c>
      <c r="F124" s="518"/>
      <c r="G124" s="520">
        <f t="shared" si="6"/>
        <v>136.0492923245404</v>
      </c>
      <c r="H124" s="500">
        <f t="shared" si="7"/>
        <v>58.57181423150925</v>
      </c>
      <c r="I124" s="500">
        <f t="shared" si="8"/>
        <v>65.25848305468092</v>
      </c>
      <c r="J124" s="500">
        <f t="shared" si="9"/>
        <v>38.56657276461567</v>
      </c>
      <c r="K124" s="500">
        <f aca="true" t="shared" si="10" ref="K124:K145">E120*$K$117</f>
        <v>14.574444980491315</v>
      </c>
      <c r="L124" s="500">
        <f>E119*$L$117</f>
        <v>1.9723864021986641</v>
      </c>
      <c r="M124" s="518">
        <f t="shared" si="3"/>
        <v>314.9929937580362</v>
      </c>
      <c r="N124" s="518"/>
      <c r="O124" s="519">
        <f t="shared" si="4"/>
        <v>0.6290778117587312</v>
      </c>
      <c r="P124" s="521">
        <f t="shared" si="5"/>
        <v>315.62207156979497</v>
      </c>
    </row>
    <row r="125" spans="4:16" ht="14.25">
      <c r="D125" s="500">
        <f>$D$78</f>
        <v>5.71554605</v>
      </c>
      <c r="E125" s="518">
        <f>$I$78</f>
        <v>0.3774466870552386</v>
      </c>
      <c r="F125" s="518"/>
      <c r="G125" s="500">
        <f t="shared" si="6"/>
        <v>97.94489246353585</v>
      </c>
      <c r="H125" s="500">
        <f t="shared" si="7"/>
        <v>37.003287181672974</v>
      </c>
      <c r="I125" s="500">
        <f t="shared" si="8"/>
        <v>43.04483945784515</v>
      </c>
      <c r="J125" s="500">
        <f t="shared" si="9"/>
        <v>41.528125580251434</v>
      </c>
      <c r="K125" s="500">
        <f t="shared" si="10"/>
        <v>38.56657276461567</v>
      </c>
      <c r="L125" s="500">
        <f aca="true" t="shared" si="11" ref="L125:L145">E120*$L$117</f>
        <v>10.410317843208098</v>
      </c>
      <c r="M125" s="518">
        <f t="shared" si="3"/>
        <v>268.49803529112916</v>
      </c>
      <c r="N125" s="518"/>
      <c r="O125" s="519">
        <f t="shared" si="4"/>
        <v>0.6290778117587312</v>
      </c>
      <c r="P125" s="521">
        <f t="shared" si="5"/>
        <v>269.1271131028879</v>
      </c>
    </row>
    <row r="126" spans="4:16" ht="14.25">
      <c r="D126" s="517">
        <f>$D$79</f>
        <v>6</v>
      </c>
      <c r="E126" s="518">
        <f>$L$79</f>
        <v>0.3459656917135998</v>
      </c>
      <c r="F126" s="518"/>
      <c r="G126" s="500">
        <f t="shared" si="6"/>
        <v>89.77578458915508</v>
      </c>
      <c r="H126" s="500">
        <f t="shared" si="7"/>
        <v>26.63948427721847</v>
      </c>
      <c r="I126" s="500">
        <f t="shared" si="8"/>
        <v>27.193976779547846</v>
      </c>
      <c r="J126" s="500">
        <f t="shared" si="9"/>
        <v>27.392170564083237</v>
      </c>
      <c r="K126" s="500">
        <f t="shared" si="10"/>
        <v>41.528125580251434</v>
      </c>
      <c r="L126" s="500">
        <f t="shared" si="11"/>
        <v>27.54755197472552</v>
      </c>
      <c r="M126" s="518">
        <f t="shared" si="3"/>
        <v>240.07709376498158</v>
      </c>
      <c r="N126" s="518"/>
      <c r="O126" s="519">
        <f t="shared" si="4"/>
        <v>0.6290778117587312</v>
      </c>
      <c r="P126" s="521">
        <f t="shared" si="5"/>
        <v>240.7061715767403</v>
      </c>
    </row>
    <row r="127" spans="4:16" ht="14.25">
      <c r="D127" s="517">
        <f>$D$80</f>
        <v>7</v>
      </c>
      <c r="E127" s="518">
        <f>$L$80</f>
        <v>0.25472258495692024</v>
      </c>
      <c r="F127" s="518"/>
      <c r="G127" s="500">
        <f t="shared" si="6"/>
        <v>66.09880824835064</v>
      </c>
      <c r="H127" s="500">
        <f t="shared" si="7"/>
        <v>24.4176142510761</v>
      </c>
      <c r="I127" s="500">
        <f t="shared" si="8"/>
        <v>19.57754491640427</v>
      </c>
      <c r="J127" s="500">
        <f t="shared" si="9"/>
        <v>17.30525795062133</v>
      </c>
      <c r="K127" s="500">
        <f t="shared" si="10"/>
        <v>27.392170564083237</v>
      </c>
      <c r="L127" s="500">
        <f t="shared" si="11"/>
        <v>29.66294684303678</v>
      </c>
      <c r="M127" s="518">
        <f t="shared" si="3"/>
        <v>184.45434277357236</v>
      </c>
      <c r="N127" s="518"/>
      <c r="O127" s="519">
        <f t="shared" si="4"/>
        <v>0.6290778117587312</v>
      </c>
      <c r="P127" s="521">
        <f t="shared" si="5"/>
        <v>185.08342058533108</v>
      </c>
    </row>
    <row r="128" spans="4:16" ht="14.25">
      <c r="D128" s="517">
        <f>$D$81</f>
        <v>8</v>
      </c>
      <c r="E128" s="518">
        <f>$L$81</f>
        <v>0.18754343809572857</v>
      </c>
      <c r="F128" s="518"/>
      <c r="G128" s="500">
        <f t="shared" si="6"/>
        <v>48.666268658597794</v>
      </c>
      <c r="H128" s="500">
        <f t="shared" si="7"/>
        <v>17.97784569246796</v>
      </c>
      <c r="I128" s="500">
        <f t="shared" si="8"/>
        <v>17.944676960607776</v>
      </c>
      <c r="J128" s="500">
        <f t="shared" si="9"/>
        <v>12.458437674075425</v>
      </c>
      <c r="K128" s="500">
        <f t="shared" si="10"/>
        <v>17.30525795062133</v>
      </c>
      <c r="L128" s="500">
        <f t="shared" si="11"/>
        <v>19.56583611720234</v>
      </c>
      <c r="M128" s="518">
        <f t="shared" si="3"/>
        <v>133.91832305357264</v>
      </c>
      <c r="N128" s="518"/>
      <c r="O128" s="519">
        <f t="shared" si="4"/>
        <v>0.6290778117587312</v>
      </c>
      <c r="P128" s="521">
        <f t="shared" si="5"/>
        <v>134.54740086533135</v>
      </c>
    </row>
    <row r="129" spans="4:16" ht="14.25">
      <c r="D129" s="517">
        <f>$D$82</f>
        <v>9</v>
      </c>
      <c r="E129" s="518">
        <f>$L$82</f>
        <v>0.13808175344449689</v>
      </c>
      <c r="F129" s="518"/>
      <c r="G129" s="500">
        <f t="shared" si="6"/>
        <v>35.831292090049395</v>
      </c>
      <c r="H129" s="500">
        <f t="shared" si="7"/>
        <v>13.236466610489797</v>
      </c>
      <c r="I129" s="500">
        <f t="shared" si="8"/>
        <v>13.212045619271507</v>
      </c>
      <c r="J129" s="500">
        <f t="shared" si="9"/>
        <v>11.419339884023112</v>
      </c>
      <c r="K129" s="500">
        <f t="shared" si="10"/>
        <v>12.458437674075425</v>
      </c>
      <c r="L129" s="500">
        <f t="shared" si="11"/>
        <v>12.36089853615811</v>
      </c>
      <c r="M129" s="518">
        <f t="shared" si="3"/>
        <v>98.51848041406734</v>
      </c>
      <c r="N129" s="518"/>
      <c r="O129" s="519">
        <f t="shared" si="4"/>
        <v>0.6290778117587312</v>
      </c>
      <c r="P129" s="498">
        <f t="shared" si="5"/>
        <v>99.14755822582607</v>
      </c>
    </row>
    <row r="130" spans="4:16" ht="14.25">
      <c r="D130" s="500">
        <f>$D$83</f>
        <v>9.64798289</v>
      </c>
      <c r="E130" s="518">
        <f>$L$83</f>
        <v>0.11323400611657154</v>
      </c>
      <c r="F130" s="518"/>
      <c r="G130" s="500">
        <f t="shared" si="6"/>
        <v>29.383467739060745</v>
      </c>
      <c r="H130" s="500">
        <f t="shared" si="7"/>
        <v>9.74555301717909</v>
      </c>
      <c r="I130" s="500">
        <f t="shared" si="8"/>
        <v>9.727572685142345</v>
      </c>
      <c r="J130" s="500">
        <f t="shared" si="9"/>
        <v>8.407665394081855</v>
      </c>
      <c r="K130" s="500">
        <f t="shared" si="10"/>
        <v>11.419339884023112</v>
      </c>
      <c r="L130" s="500">
        <f t="shared" si="11"/>
        <v>8.898884052911031</v>
      </c>
      <c r="M130" s="518">
        <f t="shared" si="3"/>
        <v>77.58248277239817</v>
      </c>
      <c r="N130" s="518"/>
      <c r="O130" s="519">
        <f t="shared" si="4"/>
        <v>0.6290778117587312</v>
      </c>
      <c r="P130" s="498">
        <f t="shared" si="5"/>
        <v>78.2115605841569</v>
      </c>
    </row>
    <row r="131" spans="4:16" ht="14.25">
      <c r="D131" s="517">
        <f>$D$84</f>
        <v>10</v>
      </c>
      <c r="E131" s="518">
        <f>$O$84</f>
        <v>0.10444129620055444</v>
      </c>
      <c r="F131" s="518"/>
      <c r="G131" s="500">
        <f t="shared" si="6"/>
        <v>27.101818285713378</v>
      </c>
      <c r="H131" s="500">
        <f t="shared" si="7"/>
        <v>7.991845283165539</v>
      </c>
      <c r="I131" s="500">
        <f t="shared" si="8"/>
        <v>7.162075659707339</v>
      </c>
      <c r="J131" s="500">
        <f t="shared" si="9"/>
        <v>6.190273526908756</v>
      </c>
      <c r="K131" s="500">
        <f t="shared" si="10"/>
        <v>8.407665394081855</v>
      </c>
      <c r="L131" s="500">
        <f t="shared" si="11"/>
        <v>8.156671345730807</v>
      </c>
      <c r="M131" s="518">
        <f t="shared" si="3"/>
        <v>65.01034949530768</v>
      </c>
      <c r="N131" s="518"/>
      <c r="O131" s="519">
        <f t="shared" si="4"/>
        <v>0.6290778117587312</v>
      </c>
      <c r="P131" s="498">
        <f t="shared" si="5"/>
        <v>65.63942730706641</v>
      </c>
    </row>
    <row r="132" spans="4:16" ht="14.25">
      <c r="D132" s="517">
        <f>$D$85</f>
        <v>11</v>
      </c>
      <c r="E132" s="518">
        <f>$O$85</f>
        <v>0.08301337446144315</v>
      </c>
      <c r="F132" s="518"/>
      <c r="G132" s="500">
        <f t="shared" si="6"/>
        <v>21.541415817146554</v>
      </c>
      <c r="H132" s="500">
        <f t="shared" si="7"/>
        <v>7.371272191401719</v>
      </c>
      <c r="I132" s="500">
        <f t="shared" si="8"/>
        <v>5.873263474921279</v>
      </c>
      <c r="J132" s="500">
        <f t="shared" si="9"/>
        <v>4.557684510722845</v>
      </c>
      <c r="K132" s="500">
        <f t="shared" si="10"/>
        <v>6.190273526908756</v>
      </c>
      <c r="L132" s="500">
        <f t="shared" si="11"/>
        <v>6.0054752814870485</v>
      </c>
      <c r="M132" s="518">
        <f t="shared" si="3"/>
        <v>51.5393848025882</v>
      </c>
      <c r="N132" s="518"/>
      <c r="O132" s="519">
        <f t="shared" si="4"/>
        <v>0.6290778117587312</v>
      </c>
      <c r="P132" s="498">
        <f t="shared" si="5"/>
        <v>52.168462614346936</v>
      </c>
    </row>
    <row r="133" spans="4:16" ht="14.25">
      <c r="D133" s="517">
        <f>$D$86</f>
        <v>12</v>
      </c>
      <c r="E133" s="518">
        <f>$O$86</f>
        <v>0.06598175808008781</v>
      </c>
      <c r="F133" s="518"/>
      <c r="G133" s="500">
        <f t="shared" si="6"/>
        <v>17.121825204319393</v>
      </c>
      <c r="H133" s="500">
        <f t="shared" si="7"/>
        <v>5.858929378921334</v>
      </c>
      <c r="I133" s="500">
        <f t="shared" si="8"/>
        <v>5.417199932118091</v>
      </c>
      <c r="J133" s="500">
        <f t="shared" si="9"/>
        <v>3.7375313022226266</v>
      </c>
      <c r="K133" s="500">
        <f t="shared" si="10"/>
        <v>4.557684510722845</v>
      </c>
      <c r="L133" s="500">
        <f t="shared" si="11"/>
        <v>4.421623947791975</v>
      </c>
      <c r="M133" s="518">
        <f t="shared" si="3"/>
        <v>41.11479427609626</v>
      </c>
      <c r="N133" s="518"/>
      <c r="O133" s="519">
        <f t="shared" si="4"/>
        <v>0.6290778117587312</v>
      </c>
      <c r="P133" s="498">
        <f t="shared" si="5"/>
        <v>41.743872087854996</v>
      </c>
    </row>
    <row r="134" spans="4:16" ht="14.25">
      <c r="D134" s="517">
        <f>$D$87</f>
        <v>13</v>
      </c>
      <c r="E134" s="518">
        <f>$O$87</f>
        <v>0.05244446967230958</v>
      </c>
      <c r="F134" s="518"/>
      <c r="G134" s="500">
        <f t="shared" si="6"/>
        <v>13.608989344791327</v>
      </c>
      <c r="H134" s="500">
        <f t="shared" si="7"/>
        <v>4.656869611629399</v>
      </c>
      <c r="I134" s="500">
        <f t="shared" si="8"/>
        <v>4.305768530810672</v>
      </c>
      <c r="J134" s="500">
        <f t="shared" si="9"/>
        <v>3.447309047711508</v>
      </c>
      <c r="K134" s="500">
        <f t="shared" si="10"/>
        <v>3.7375313022226266</v>
      </c>
      <c r="L134" s="500">
        <f t="shared" si="11"/>
        <v>3.2554889362306088</v>
      </c>
      <c r="M134" s="518">
        <f t="shared" si="3"/>
        <v>33.011956773396136</v>
      </c>
      <c r="N134" s="518"/>
      <c r="O134" s="519">
        <f t="shared" si="4"/>
        <v>0.6290778117587312</v>
      </c>
      <c r="P134" s="498">
        <f t="shared" si="5"/>
        <v>33.64103458515487</v>
      </c>
    </row>
    <row r="135" spans="4:16" ht="14.25">
      <c r="D135" s="517">
        <f>$D$88</f>
        <v>14</v>
      </c>
      <c r="E135" s="518">
        <f>$O$88</f>
        <v>0.04168458797159317</v>
      </c>
      <c r="F135" s="518"/>
      <c r="G135" s="500">
        <f t="shared" si="6"/>
        <v>10.816871961753328</v>
      </c>
      <c r="H135" s="500">
        <f t="shared" si="7"/>
        <v>3.7014330054461175</v>
      </c>
      <c r="I135" s="500">
        <f t="shared" si="8"/>
        <v>3.422366328220528</v>
      </c>
      <c r="J135" s="500">
        <f t="shared" si="9"/>
        <v>2.7400345196067875</v>
      </c>
      <c r="K135" s="500">
        <f t="shared" si="10"/>
        <v>3.447309047711508</v>
      </c>
      <c r="L135" s="500">
        <f t="shared" si="11"/>
        <v>2.6696652158733087</v>
      </c>
      <c r="M135" s="518">
        <f t="shared" si="3"/>
        <v>26.797680078611577</v>
      </c>
      <c r="N135" s="518"/>
      <c r="O135" s="519">
        <f t="shared" si="4"/>
        <v>0.6290778117587312</v>
      </c>
      <c r="P135" s="498">
        <f t="shared" si="5"/>
        <v>27.426757890370308</v>
      </c>
    </row>
    <row r="136" spans="4:16" ht="14.25">
      <c r="D136" s="517">
        <f>$D$89</f>
        <v>15</v>
      </c>
      <c r="E136" s="518">
        <f>$O$89</f>
        <v>0.03313228039521844</v>
      </c>
      <c r="F136" s="518"/>
      <c r="G136" s="500">
        <f t="shared" si="6"/>
        <v>8.597605308710705</v>
      </c>
      <c r="H136" s="500">
        <f t="shared" si="7"/>
        <v>2.942020592458064</v>
      </c>
      <c r="I136" s="500">
        <f t="shared" si="8"/>
        <v>2.720209226465887</v>
      </c>
      <c r="J136" s="500">
        <f t="shared" si="9"/>
        <v>2.177869481594878</v>
      </c>
      <c r="K136" s="500">
        <f t="shared" si="10"/>
        <v>2.7400345196067875</v>
      </c>
      <c r="L136" s="500">
        <f t="shared" si="11"/>
        <v>2.4623636055082234</v>
      </c>
      <c r="M136" s="518">
        <f t="shared" si="3"/>
        <v>21.640102734344545</v>
      </c>
      <c r="N136" s="518"/>
      <c r="O136" s="519">
        <f t="shared" si="4"/>
        <v>0.6290778117587312</v>
      </c>
      <c r="P136" s="498">
        <f t="shared" si="5"/>
        <v>22.269180546103275</v>
      </c>
    </row>
    <row r="137" spans="4:16" ht="14.25">
      <c r="D137" s="517">
        <f>$D$90</f>
        <v>16</v>
      </c>
      <c r="E137" s="518">
        <f>$O$90</f>
        <v>0.026334625280102514</v>
      </c>
      <c r="F137" s="518"/>
      <c r="G137" s="500">
        <f t="shared" si="6"/>
        <v>6.83365924139022</v>
      </c>
      <c r="H137" s="500">
        <f t="shared" si="7"/>
        <v>2.3384146501400997</v>
      </c>
      <c r="I137" s="500">
        <f t="shared" si="8"/>
        <v>2.1621116870903636</v>
      </c>
      <c r="J137" s="500">
        <f t="shared" si="9"/>
        <v>1.7310422350237435</v>
      </c>
      <c r="K137" s="500">
        <f t="shared" si="10"/>
        <v>2.177869481594878</v>
      </c>
      <c r="L137" s="500">
        <f t="shared" si="11"/>
        <v>1.957167514004851</v>
      </c>
      <c r="M137" s="518">
        <f t="shared" si="3"/>
        <v>17.200264809244157</v>
      </c>
      <c r="N137" s="518"/>
      <c r="O137" s="519">
        <f t="shared" si="4"/>
        <v>0.6290778117587312</v>
      </c>
      <c r="P137" s="498">
        <f t="shared" si="5"/>
        <v>17.829342621002887</v>
      </c>
    </row>
    <row r="138" spans="4:16" ht="14.25">
      <c r="D138" s="517">
        <f>$D$91</f>
        <v>17</v>
      </c>
      <c r="E138" s="518">
        <f>$O$91</f>
        <v>0.020931625604119333</v>
      </c>
      <c r="F138" s="518"/>
      <c r="G138" s="500">
        <f t="shared" si="6"/>
        <v>5.431616938745118</v>
      </c>
      <c r="H138" s="500">
        <f t="shared" si="7"/>
        <v>1.8586488109592598</v>
      </c>
      <c r="I138" s="500">
        <f t="shared" si="8"/>
        <v>1.718517422105128</v>
      </c>
      <c r="J138" s="500">
        <f t="shared" si="9"/>
        <v>1.3758892554211384</v>
      </c>
      <c r="K138" s="500">
        <f t="shared" si="10"/>
        <v>1.7310422350237435</v>
      </c>
      <c r="L138" s="500">
        <f t="shared" si="11"/>
        <v>1.555621058282058</v>
      </c>
      <c r="M138" s="518">
        <f t="shared" si="3"/>
        <v>13.671335720536446</v>
      </c>
      <c r="N138" s="518"/>
      <c r="O138" s="519">
        <f t="shared" si="4"/>
        <v>0.6290778117587312</v>
      </c>
      <c r="P138" s="498">
        <f t="shared" si="5"/>
        <v>14.300413532295178</v>
      </c>
    </row>
    <row r="139" spans="4:16" ht="14.25">
      <c r="D139" s="517">
        <f>$D$92</f>
        <v>18</v>
      </c>
      <c r="E139" s="518">
        <f>$O$92</f>
        <v>0.01663714390354593</v>
      </c>
      <c r="F139" s="518"/>
      <c r="G139" s="500">
        <f t="shared" si="6"/>
        <v>4.317227641462116</v>
      </c>
      <c r="H139" s="500">
        <f t="shared" si="7"/>
        <v>1.4773151554936175</v>
      </c>
      <c r="I139" s="500">
        <f t="shared" si="8"/>
        <v>1.3659341225120625</v>
      </c>
      <c r="J139" s="500">
        <f t="shared" si="9"/>
        <v>1.0936019958850798</v>
      </c>
      <c r="K139" s="500">
        <f t="shared" si="10"/>
        <v>1.3758892554211384</v>
      </c>
      <c r="L139" s="500">
        <f t="shared" si="11"/>
        <v>1.2364587393026758</v>
      </c>
      <c r="M139" s="518">
        <f t="shared" si="3"/>
        <v>10.86642691007669</v>
      </c>
      <c r="N139" s="518"/>
      <c r="O139" s="519">
        <f t="shared" si="4"/>
        <v>0.6290778117587312</v>
      </c>
      <c r="P139" s="498">
        <f t="shared" si="5"/>
        <v>11.495504721835422</v>
      </c>
    </row>
    <row r="140" spans="4:16" ht="14.25">
      <c r="D140" s="517">
        <f>$D$93</f>
        <v>19</v>
      </c>
      <c r="E140" s="518">
        <f>$O$93</f>
        <v>0.013223748718915672</v>
      </c>
      <c r="F140" s="518"/>
      <c r="G140" s="500">
        <f t="shared" si="6"/>
        <v>3.4314744059456155</v>
      </c>
      <c r="H140" s="500">
        <f t="shared" si="7"/>
        <v>1.174218634409343</v>
      </c>
      <c r="I140" s="500">
        <f t="shared" si="8"/>
        <v>1.0856893290946594</v>
      </c>
      <c r="J140" s="500">
        <f t="shared" si="9"/>
        <v>0.8692308052349474</v>
      </c>
      <c r="K140" s="500">
        <f t="shared" si="10"/>
        <v>1.0936019958850798</v>
      </c>
      <c r="L140" s="500">
        <f t="shared" si="11"/>
        <v>0.9827780395865289</v>
      </c>
      <c r="M140" s="518">
        <f t="shared" si="3"/>
        <v>8.636993210156174</v>
      </c>
      <c r="N140" s="518"/>
      <c r="O140" s="519">
        <f t="shared" si="4"/>
        <v>0.6290778117587312</v>
      </c>
      <c r="P140" s="498">
        <f t="shared" si="5"/>
        <v>9.266071021914906</v>
      </c>
    </row>
    <row r="141" spans="4:16" ht="14.25">
      <c r="D141" s="517">
        <f>$D$94</f>
        <v>20</v>
      </c>
      <c r="E141" s="518">
        <f>$O$94</f>
        <v>0.010510670052192892</v>
      </c>
      <c r="F141" s="518"/>
      <c r="G141" s="500">
        <f t="shared" si="6"/>
        <v>2.7274486259594037</v>
      </c>
      <c r="H141" s="500">
        <f t="shared" si="7"/>
        <v>0.9333075588285329</v>
      </c>
      <c r="I141" s="500">
        <f t="shared" si="8"/>
        <v>0.8629415576369444</v>
      </c>
      <c r="J141" s="500">
        <f t="shared" si="9"/>
        <v>0.6908932094238732</v>
      </c>
      <c r="K141" s="500">
        <f t="shared" si="10"/>
        <v>0.8692308052349474</v>
      </c>
      <c r="L141" s="500">
        <f t="shared" si="11"/>
        <v>0.7811442827750582</v>
      </c>
      <c r="M141" s="518">
        <f t="shared" si="3"/>
        <v>6.864966039858759</v>
      </c>
      <c r="N141" s="518"/>
      <c r="O141" s="519">
        <f t="shared" si="4"/>
        <v>0.6290778117587312</v>
      </c>
      <c r="P141" s="498">
        <f t="shared" si="5"/>
        <v>7.49404385161749</v>
      </c>
    </row>
    <row r="142" spans="4:16" ht="14.25">
      <c r="D142" s="517">
        <f>$D$95</f>
        <v>21</v>
      </c>
      <c r="E142" s="518">
        <f>$O$95</f>
        <v>0.008354225968317048</v>
      </c>
      <c r="F142" s="518"/>
      <c r="G142" s="500">
        <f t="shared" si="6"/>
        <v>2.167865799715291</v>
      </c>
      <c r="H142" s="500">
        <f t="shared" si="7"/>
        <v>0.7418235189263863</v>
      </c>
      <c r="I142" s="500">
        <f t="shared" si="8"/>
        <v>0.685894308750224</v>
      </c>
      <c r="J142" s="500">
        <f t="shared" si="9"/>
        <v>0.5491446275871456</v>
      </c>
      <c r="K142" s="500">
        <f t="shared" si="10"/>
        <v>0.6908932094238732</v>
      </c>
      <c r="L142" s="500">
        <f t="shared" si="11"/>
        <v>0.620879146596392</v>
      </c>
      <c r="M142" s="518">
        <f t="shared" si="3"/>
        <v>5.456500610999312</v>
      </c>
      <c r="N142" s="518"/>
      <c r="O142" s="519">
        <f t="shared" si="4"/>
        <v>0.6290778117587312</v>
      </c>
      <c r="P142" s="498">
        <f t="shared" si="5"/>
        <v>6.085578422758043</v>
      </c>
    </row>
    <row r="143" spans="4:16" ht="14.25">
      <c r="D143" s="517">
        <f>$D$96</f>
        <v>22</v>
      </c>
      <c r="E143" s="518">
        <f>$O$96</f>
        <v>0.00664021334350055</v>
      </c>
      <c r="F143" s="518"/>
      <c r="G143" s="500">
        <f t="shared" si="6"/>
        <v>1.7230909799161016</v>
      </c>
      <c r="H143" s="500">
        <f t="shared" si="7"/>
        <v>0.5896257112961285</v>
      </c>
      <c r="I143" s="500">
        <f t="shared" si="8"/>
        <v>0.5451713370534819</v>
      </c>
      <c r="J143" s="500">
        <f t="shared" si="9"/>
        <v>0.4364781964774146</v>
      </c>
      <c r="K143" s="500">
        <f t="shared" si="10"/>
        <v>0.5491446275871456</v>
      </c>
      <c r="L143" s="500">
        <f t="shared" si="11"/>
        <v>0.4934951495884816</v>
      </c>
      <c r="M143" s="518">
        <f t="shared" si="3"/>
        <v>4.337006001918754</v>
      </c>
      <c r="N143" s="518"/>
      <c r="O143" s="519">
        <f t="shared" si="4"/>
        <v>0.6290778117587312</v>
      </c>
      <c r="P143" s="498">
        <f t="shared" si="5"/>
        <v>4.966083813677485</v>
      </c>
    </row>
    <row r="144" spans="4:16" ht="14.25">
      <c r="D144" s="517">
        <f>$D$97</f>
        <v>23</v>
      </c>
      <c r="E144" s="518">
        <f>$O$97</f>
        <v>0.005277859781914084</v>
      </c>
      <c r="F144" s="518"/>
      <c r="G144" s="500">
        <f t="shared" si="6"/>
        <v>1.369569336560484</v>
      </c>
      <c r="H144" s="500">
        <f t="shared" si="7"/>
        <v>0.4686538921341</v>
      </c>
      <c r="I144" s="500">
        <f t="shared" si="8"/>
        <v>0.43332009458750914</v>
      </c>
      <c r="J144" s="500">
        <f t="shared" si="9"/>
        <v>0.34692721448857883</v>
      </c>
      <c r="K144" s="500">
        <f t="shared" si="10"/>
        <v>0.4364781964774146</v>
      </c>
      <c r="L144" s="500">
        <f t="shared" si="11"/>
        <v>0.3922461625622474</v>
      </c>
      <c r="M144" s="518">
        <f t="shared" si="3"/>
        <v>3.4471948968103336</v>
      </c>
      <c r="N144" s="518"/>
      <c r="O144" s="519">
        <f t="shared" si="4"/>
        <v>0.6290778117587312</v>
      </c>
      <c r="P144" s="498">
        <f t="shared" si="5"/>
        <v>4.076272708569065</v>
      </c>
    </row>
    <row r="145" spans="4:16" ht="14.25">
      <c r="D145" s="517">
        <f>$D$98</f>
        <v>24</v>
      </c>
      <c r="E145" s="518">
        <f>$O$98</f>
        <v>0.004195016400310614</v>
      </c>
      <c r="F145" s="518"/>
      <c r="G145" s="500">
        <f t="shared" si="6"/>
        <v>1.0885787166839294</v>
      </c>
      <c r="H145" s="500">
        <f t="shared" si="7"/>
        <v>0.3725015147823711</v>
      </c>
      <c r="I145" s="500">
        <f t="shared" si="8"/>
        <v>0.34441705132217487</v>
      </c>
      <c r="J145" s="500">
        <f t="shared" si="9"/>
        <v>0.2757491511011418</v>
      </c>
      <c r="K145" s="500">
        <f t="shared" si="10"/>
        <v>0.34692721448857883</v>
      </c>
      <c r="L145" s="500">
        <f t="shared" si="11"/>
        <v>0.3117701403410109</v>
      </c>
      <c r="M145" s="518">
        <f>SUM(G145:L145)</f>
        <v>2.739943788719207</v>
      </c>
      <c r="N145" s="518"/>
      <c r="O145" s="519">
        <f t="shared" si="4"/>
        <v>0.6290778117587312</v>
      </c>
      <c r="P145" s="498">
        <f>M145+O145</f>
        <v>3.3690216004779385</v>
      </c>
    </row>
    <row r="147" ht="14.25">
      <c r="P147" s="443"/>
    </row>
    <row r="148" ht="14.25">
      <c r="P148" s="443"/>
    </row>
    <row r="150" spans="2:16" ht="14.25">
      <c r="B150" s="412">
        <f>Rekap!B172</f>
        <v>20</v>
      </c>
      <c r="D150" s="512" t="s">
        <v>366</v>
      </c>
      <c r="E150" s="512" t="s">
        <v>278</v>
      </c>
      <c r="F150" s="512"/>
      <c r="G150" s="513" t="s">
        <v>381</v>
      </c>
      <c r="H150" s="513"/>
      <c r="I150" s="513"/>
      <c r="J150" s="513"/>
      <c r="K150" s="513"/>
      <c r="L150" s="513"/>
      <c r="M150" s="514" t="s">
        <v>382</v>
      </c>
      <c r="N150" s="514"/>
      <c r="O150" s="522" t="s">
        <v>383</v>
      </c>
      <c r="P150" s="515" t="s">
        <v>384</v>
      </c>
    </row>
    <row r="151" spans="2:16" ht="14.25">
      <c r="B151" s="412"/>
      <c r="D151" s="512"/>
      <c r="E151" s="512"/>
      <c r="F151" s="512"/>
      <c r="G151" s="516">
        <v>1</v>
      </c>
      <c r="H151" s="516">
        <v>2</v>
      </c>
      <c r="I151" s="516">
        <v>3</v>
      </c>
      <c r="J151" s="516">
        <v>4</v>
      </c>
      <c r="K151" s="516">
        <v>5</v>
      </c>
      <c r="L151" s="516">
        <v>6</v>
      </c>
      <c r="M151" s="514"/>
      <c r="N151" s="514"/>
      <c r="O151" s="522"/>
      <c r="P151" s="515"/>
    </row>
    <row r="152" spans="4:16" ht="14.25">
      <c r="D152" s="512"/>
      <c r="E152" s="512"/>
      <c r="F152" s="512"/>
      <c r="G152" s="520">
        <f>Rekap!D172</f>
        <v>297.1439179097532</v>
      </c>
      <c r="H152" s="520">
        <f>Rekap!E172</f>
        <v>80.8185146782916</v>
      </c>
      <c r="I152" s="520">
        <f>Rekap!F172</f>
        <v>59.39409654954996</v>
      </c>
      <c r="J152" s="520">
        <f>Rekap!G172</f>
        <v>37.79624325880446</v>
      </c>
      <c r="K152" s="520">
        <f>Rekap!H172</f>
        <v>37.79624325880446</v>
      </c>
      <c r="L152" s="520">
        <f>Rekap!I172</f>
        <v>26.9973166134318</v>
      </c>
      <c r="M152" s="514"/>
      <c r="N152" s="514"/>
      <c r="O152" s="522"/>
      <c r="P152" s="515"/>
    </row>
    <row r="153" spans="4:16" ht="14.25">
      <c r="D153" s="517">
        <f>$D$71</f>
        <v>0</v>
      </c>
      <c r="E153" s="518">
        <f>$F$71</f>
        <v>0</v>
      </c>
      <c r="F153" s="518"/>
      <c r="G153" s="520">
        <f>E153*G152</f>
        <v>0</v>
      </c>
      <c r="H153" s="520"/>
      <c r="I153" s="520"/>
      <c r="J153" s="520"/>
      <c r="K153" s="520"/>
      <c r="L153" s="520"/>
      <c r="M153" s="523">
        <f>SUM(G153:L153)</f>
        <v>0</v>
      </c>
      <c r="N153" s="523"/>
      <c r="O153" s="519">
        <f>$E$38</f>
        <v>0.6290778117587312</v>
      </c>
      <c r="P153" s="498">
        <f>M153+O153</f>
        <v>0.6290778117587312</v>
      </c>
    </row>
    <row r="154" spans="4:16" ht="14.25">
      <c r="D154" s="517">
        <f>$D$72</f>
        <v>1</v>
      </c>
      <c r="E154" s="518">
        <f>$F$72</f>
        <v>0.08365888449340493</v>
      </c>
      <c r="F154" s="518"/>
      <c r="G154" s="520">
        <f>E154*$G$152</f>
        <v>24.858728706329842</v>
      </c>
      <c r="H154" s="520">
        <v>0</v>
      </c>
      <c r="I154" s="520"/>
      <c r="J154" s="520"/>
      <c r="K154" s="520"/>
      <c r="L154" s="520"/>
      <c r="M154" s="523">
        <f aca="true" t="shared" si="12" ref="M154:M180">SUM(G154:L154)</f>
        <v>24.858728706329842</v>
      </c>
      <c r="N154" s="523"/>
      <c r="O154" s="519">
        <f aca="true" t="shared" si="13" ref="O154:O180">$E$38</f>
        <v>0.6290778117587312</v>
      </c>
      <c r="P154" s="498">
        <f aca="true" t="shared" si="14" ref="P154:P180">M154+O154</f>
        <v>25.487806518088572</v>
      </c>
    </row>
    <row r="155" spans="4:16" ht="14.25">
      <c r="D155" s="517">
        <f>$D$73</f>
        <v>2</v>
      </c>
      <c r="E155" s="518">
        <f>$F$73</f>
        <v>0.4415542395819344</v>
      </c>
      <c r="F155" s="518"/>
      <c r="G155" s="520">
        <f aca="true" t="shared" si="15" ref="G155:G180">E155*$G$152</f>
        <v>131.20515671903783</v>
      </c>
      <c r="H155" s="520">
        <f>E154*$H$152</f>
        <v>6.761186784399748</v>
      </c>
      <c r="I155" s="520">
        <v>0</v>
      </c>
      <c r="J155" s="520"/>
      <c r="K155" s="520"/>
      <c r="L155" s="520"/>
      <c r="M155" s="523">
        <f t="shared" si="12"/>
        <v>137.96634350343757</v>
      </c>
      <c r="N155" s="523"/>
      <c r="O155" s="519">
        <f t="shared" si="13"/>
        <v>0.6290778117587312</v>
      </c>
      <c r="P155" s="521">
        <f t="shared" si="14"/>
        <v>138.5954213151963</v>
      </c>
    </row>
    <row r="156" spans="4:16" ht="14.25">
      <c r="D156" s="517">
        <f>$D$74</f>
        <v>3</v>
      </c>
      <c r="E156" s="518">
        <f>$F$74</f>
        <v>1.1684310265780802</v>
      </c>
      <c r="F156" s="518"/>
      <c r="G156" s="520">
        <f t="shared" si="15"/>
        <v>347.19217304472573</v>
      </c>
      <c r="H156" s="520">
        <f aca="true" t="shared" si="16" ref="H156:H180">E155*$H$152</f>
        <v>35.68575779291445</v>
      </c>
      <c r="I156" s="520">
        <f>E154*$I$152</f>
        <v>4.96884386282894</v>
      </c>
      <c r="J156" s="520">
        <v>0</v>
      </c>
      <c r="K156" s="520"/>
      <c r="L156" s="520"/>
      <c r="M156" s="523">
        <f t="shared" si="12"/>
        <v>387.8467747004691</v>
      </c>
      <c r="N156" s="523"/>
      <c r="O156" s="519">
        <f t="shared" si="13"/>
        <v>0.6290778117587312</v>
      </c>
      <c r="P156" s="521">
        <f t="shared" si="14"/>
        <v>388.47585251222785</v>
      </c>
    </row>
    <row r="157" spans="4:31" ht="14.25">
      <c r="D157" s="500">
        <f>$D$75</f>
        <v>3.09392149</v>
      </c>
      <c r="E157" s="518">
        <f>$F$75</f>
        <v>1.2581556235174625</v>
      </c>
      <c r="F157" s="518"/>
      <c r="G157" s="520">
        <f t="shared" si="15"/>
        <v>373.85329131216724</v>
      </c>
      <c r="H157" s="520">
        <f t="shared" si="16"/>
        <v>94.43086007207191</v>
      </c>
      <c r="I157" s="520">
        <f aca="true" t="shared" si="17" ref="I157:I180">E155*$I$152</f>
        <v>26.225715137592527</v>
      </c>
      <c r="J157" s="520">
        <f>E154*$J$152</f>
        <v>3.161991549072957</v>
      </c>
      <c r="K157" s="520">
        <v>0</v>
      </c>
      <c r="L157" s="520"/>
      <c r="M157" s="523">
        <f t="shared" si="12"/>
        <v>497.6718580709047</v>
      </c>
      <c r="N157" s="523"/>
      <c r="O157" s="519">
        <f t="shared" si="13"/>
        <v>0.6290778117587312</v>
      </c>
      <c r="P157" s="521">
        <f t="shared" si="14"/>
        <v>498.30093588266345</v>
      </c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</row>
    <row r="158" spans="4:16" ht="14.25">
      <c r="D158" s="517">
        <f>$D$76</f>
        <v>4</v>
      </c>
      <c r="E158" s="518">
        <f>$I$76</f>
        <v>0.8298860821192442</v>
      </c>
      <c r="F158" s="518"/>
      <c r="G158" s="520">
        <f t="shared" si="15"/>
        <v>246.5956018596874</v>
      </c>
      <c r="H158" s="520">
        <f t="shared" si="16"/>
        <v>101.68226872682116</v>
      </c>
      <c r="I158" s="520">
        <f t="shared" si="17"/>
        <v>69.39790520406827</v>
      </c>
      <c r="J158" s="520">
        <f aca="true" t="shared" si="18" ref="J158:J180">E155*$J$152</f>
        <v>16.689091451195218</v>
      </c>
      <c r="K158" s="520">
        <f>E154*$K$152</f>
        <v>3.161991549072957</v>
      </c>
      <c r="L158" s="520">
        <v>0</v>
      </c>
      <c r="M158" s="523">
        <f t="shared" si="12"/>
        <v>437.52685879084504</v>
      </c>
      <c r="N158" s="523"/>
      <c r="O158" s="519">
        <f t="shared" si="13"/>
        <v>0.6290778117587312</v>
      </c>
      <c r="P158" s="521">
        <f t="shared" si="14"/>
        <v>438.1559366026038</v>
      </c>
    </row>
    <row r="159" spans="4:16" ht="14.25">
      <c r="D159" s="517">
        <f>$D$77</f>
        <v>5</v>
      </c>
      <c r="E159" s="518">
        <f>$I$77</f>
        <v>0.5242882336434767</v>
      </c>
      <c r="F159" s="518"/>
      <c r="G159" s="520">
        <f t="shared" si="15"/>
        <v>155.78905985880675</v>
      </c>
      <c r="H159" s="520">
        <f t="shared" si="16"/>
        <v>67.07016050906405</v>
      </c>
      <c r="I159" s="520">
        <f t="shared" si="17"/>
        <v>74.72701657755539</v>
      </c>
      <c r="J159" s="520">
        <f t="shared" si="18"/>
        <v>44.162303311679736</v>
      </c>
      <c r="K159" s="520">
        <f aca="true" t="shared" si="19" ref="K159:K180">E155*$K$152</f>
        <v>16.689091451195218</v>
      </c>
      <c r="L159" s="520">
        <f>E154*$L$152</f>
        <v>2.258565392194973</v>
      </c>
      <c r="M159" s="523">
        <f t="shared" si="12"/>
        <v>360.69619710049614</v>
      </c>
      <c r="N159" s="523"/>
      <c r="O159" s="519">
        <f t="shared" si="13"/>
        <v>0.6290778117587312</v>
      </c>
      <c r="P159" s="521">
        <f t="shared" si="14"/>
        <v>361.3252749122549</v>
      </c>
    </row>
    <row r="160" spans="4:16" ht="14.25">
      <c r="D160" s="500">
        <f>$D$78</f>
        <v>5.71554605</v>
      </c>
      <c r="E160" s="518">
        <f>$I$78</f>
        <v>0.3774466870552386</v>
      </c>
      <c r="F160" s="518"/>
      <c r="G160" s="520">
        <f t="shared" si="15"/>
        <v>112.15598739365012</v>
      </c>
      <c r="H160" s="520">
        <f t="shared" si="16"/>
        <v>42.372196306370896</v>
      </c>
      <c r="I160" s="520">
        <f t="shared" si="17"/>
        <v>49.290334086518136</v>
      </c>
      <c r="J160" s="520">
        <f t="shared" si="18"/>
        <v>47.55355600389881</v>
      </c>
      <c r="K160" s="520">
        <f t="shared" si="19"/>
        <v>44.162303311679736</v>
      </c>
      <c r="L160" s="520">
        <f aca="true" t="shared" si="20" ref="L160:L180">E155*$L$152</f>
        <v>11.920779607996602</v>
      </c>
      <c r="M160" s="523">
        <f t="shared" si="12"/>
        <v>307.45515671011435</v>
      </c>
      <c r="N160" s="523"/>
      <c r="O160" s="519">
        <f t="shared" si="13"/>
        <v>0.6290778117587312</v>
      </c>
      <c r="P160" s="521">
        <f t="shared" si="14"/>
        <v>308.0842345218731</v>
      </c>
    </row>
    <row r="161" spans="4:16" ht="14.25">
      <c r="D161" s="517">
        <f>$D$79</f>
        <v>6</v>
      </c>
      <c r="E161" s="518">
        <f>$L$79</f>
        <v>0.3459656917135998</v>
      </c>
      <c r="F161" s="518"/>
      <c r="G161" s="520">
        <f t="shared" si="15"/>
        <v>102.80160109813689</v>
      </c>
      <c r="H161" s="520">
        <f t="shared" si="16"/>
        <v>30.50468061804634</v>
      </c>
      <c r="I161" s="520">
        <f t="shared" si="17"/>
        <v>31.139625968813657</v>
      </c>
      <c r="J161" s="520">
        <f t="shared" si="18"/>
        <v>31.366576236875126</v>
      </c>
      <c r="K161" s="520">
        <f t="shared" si="19"/>
        <v>47.55355600389881</v>
      </c>
      <c r="L161" s="520">
        <f t="shared" si="20"/>
        <v>31.544502365485577</v>
      </c>
      <c r="M161" s="523">
        <f t="shared" si="12"/>
        <v>274.9105422912564</v>
      </c>
      <c r="N161" s="523"/>
      <c r="O161" s="519">
        <f t="shared" si="13"/>
        <v>0.6290778117587312</v>
      </c>
      <c r="P161" s="521">
        <f t="shared" si="14"/>
        <v>275.5396201030151</v>
      </c>
    </row>
    <row r="162" spans="4:16" ht="14.25">
      <c r="D162" s="517">
        <f>$D$80</f>
        <v>7</v>
      </c>
      <c r="E162" s="518">
        <f>$L$80</f>
        <v>0.25472258495692024</v>
      </c>
      <c r="F162" s="518"/>
      <c r="G162" s="520">
        <f t="shared" si="15"/>
        <v>75.68926687419925</v>
      </c>
      <c r="H162" s="520">
        <f t="shared" si="16"/>
        <v>27.960433333940873</v>
      </c>
      <c r="I162" s="520">
        <f t="shared" si="17"/>
        <v>22.41810497326661</v>
      </c>
      <c r="J162" s="520">
        <f t="shared" si="18"/>
        <v>19.816125616517752</v>
      </c>
      <c r="K162" s="520">
        <f t="shared" si="19"/>
        <v>31.366576236875126</v>
      </c>
      <c r="L162" s="520">
        <f t="shared" si="20"/>
        <v>33.966825717070634</v>
      </c>
      <c r="M162" s="523">
        <f t="shared" si="12"/>
        <v>211.21733275187023</v>
      </c>
      <c r="N162" s="523"/>
      <c r="O162" s="519">
        <f t="shared" si="13"/>
        <v>0.6290778117587312</v>
      </c>
      <c r="P162" s="521">
        <f t="shared" si="14"/>
        <v>211.84641056362895</v>
      </c>
    </row>
    <row r="163" spans="4:16" ht="14.25">
      <c r="D163" s="517">
        <f>$D$81</f>
        <v>8</v>
      </c>
      <c r="E163" s="518">
        <f>$L$81</f>
        <v>0.18754343809572857</v>
      </c>
      <c r="F163" s="518"/>
      <c r="G163" s="520">
        <f t="shared" si="15"/>
        <v>55.727391974030056</v>
      </c>
      <c r="H163" s="520">
        <f t="shared" si="16"/>
        <v>20.58630097123324</v>
      </c>
      <c r="I163" s="520">
        <f t="shared" si="17"/>
        <v>20.54831969646938</v>
      </c>
      <c r="J163" s="520">
        <f t="shared" si="18"/>
        <v>14.266066801169638</v>
      </c>
      <c r="K163" s="520">
        <f t="shared" si="19"/>
        <v>19.816125616517752</v>
      </c>
      <c r="L163" s="520">
        <f t="shared" si="20"/>
        <v>22.4046973120537</v>
      </c>
      <c r="M163" s="523">
        <f t="shared" si="12"/>
        <v>153.3489023714738</v>
      </c>
      <c r="N163" s="523"/>
      <c r="O163" s="519">
        <f t="shared" si="13"/>
        <v>0.6290778117587312</v>
      </c>
      <c r="P163" s="521">
        <f t="shared" si="14"/>
        <v>153.97798018323252</v>
      </c>
    </row>
    <row r="164" spans="4:16" ht="14.25">
      <c r="D164" s="517">
        <f>$D$82</f>
        <v>9</v>
      </c>
      <c r="E164" s="518">
        <f>$L$82</f>
        <v>0.13808175344449689</v>
      </c>
      <c r="F164" s="518"/>
      <c r="G164" s="520">
        <f t="shared" si="15"/>
        <v>41.03015321034636</v>
      </c>
      <c r="H164" s="520">
        <f t="shared" si="16"/>
        <v>15.156982104556914</v>
      </c>
      <c r="I164" s="520">
        <f t="shared" si="17"/>
        <v>15.129017804282261</v>
      </c>
      <c r="J164" s="520">
        <f t="shared" si="18"/>
        <v>13.076203443207769</v>
      </c>
      <c r="K164" s="520">
        <f t="shared" si="19"/>
        <v>14.266066801169638</v>
      </c>
      <c r="L164" s="520">
        <f t="shared" si="20"/>
        <v>14.154375440369845</v>
      </c>
      <c r="M164" s="523">
        <f t="shared" si="12"/>
        <v>112.8127988039328</v>
      </c>
      <c r="N164" s="523"/>
      <c r="O164" s="519">
        <f t="shared" si="13"/>
        <v>0.6290778117587312</v>
      </c>
      <c r="P164" s="498">
        <f t="shared" si="14"/>
        <v>113.44187661569153</v>
      </c>
    </row>
    <row r="165" spans="4:16" ht="14.25">
      <c r="D165" s="500">
        <f>$D$83</f>
        <v>9.64798289</v>
      </c>
      <c r="E165" s="518">
        <f>$L$83</f>
        <v>0.11323400611657154</v>
      </c>
      <c r="F165" s="518"/>
      <c r="G165" s="520">
        <f t="shared" si="15"/>
        <v>33.64679621809503</v>
      </c>
      <c r="H165" s="520">
        <f t="shared" si="16"/>
        <v>11.159562217558314</v>
      </c>
      <c r="I165" s="520">
        <f t="shared" si="17"/>
        <v>11.138973069492248</v>
      </c>
      <c r="J165" s="520">
        <f t="shared" si="18"/>
        <v>9.627556784543243</v>
      </c>
      <c r="K165" s="520">
        <f t="shared" si="19"/>
        <v>13.076203443207769</v>
      </c>
      <c r="L165" s="520">
        <f t="shared" si="20"/>
        <v>10.190047715121187</v>
      </c>
      <c r="M165" s="523">
        <f t="shared" si="12"/>
        <v>88.83913944801779</v>
      </c>
      <c r="N165" s="523"/>
      <c r="O165" s="519">
        <f t="shared" si="13"/>
        <v>0.6290778117587312</v>
      </c>
      <c r="P165" s="498">
        <f t="shared" si="14"/>
        <v>89.46821725977652</v>
      </c>
    </row>
    <row r="166" spans="4:16" ht="14.25">
      <c r="D166" s="517">
        <f>$D$84</f>
        <v>10</v>
      </c>
      <c r="E166" s="518">
        <f>$O$84</f>
        <v>0.10444129620055444</v>
      </c>
      <c r="F166" s="518"/>
      <c r="G166" s="520">
        <f t="shared" si="15"/>
        <v>31.034095944605767</v>
      </c>
      <c r="H166" s="520">
        <f t="shared" si="16"/>
        <v>9.151404185413899</v>
      </c>
      <c r="I166" s="520">
        <f t="shared" si="17"/>
        <v>8.2012409958136</v>
      </c>
      <c r="J166" s="520">
        <f t="shared" si="18"/>
        <v>7.0884374078586925</v>
      </c>
      <c r="K166" s="520">
        <f t="shared" si="19"/>
        <v>9.627556784543243</v>
      </c>
      <c r="L166" s="520">
        <f t="shared" si="20"/>
        <v>9.340145316576992</v>
      </c>
      <c r="M166" s="523">
        <f t="shared" si="12"/>
        <v>74.44288063481218</v>
      </c>
      <c r="N166" s="523"/>
      <c r="O166" s="519">
        <f t="shared" si="13"/>
        <v>0.6290778117587312</v>
      </c>
      <c r="P166" s="498">
        <f t="shared" si="14"/>
        <v>75.07195844657092</v>
      </c>
    </row>
    <row r="167" spans="4:16" ht="14.25">
      <c r="D167" s="517">
        <f>$D$85</f>
        <v>11</v>
      </c>
      <c r="E167" s="518">
        <f>$O$85</f>
        <v>0.08301337446144315</v>
      </c>
      <c r="F167" s="518"/>
      <c r="G167" s="520">
        <f t="shared" si="15"/>
        <v>24.66691932638267</v>
      </c>
      <c r="H167" s="520">
        <f t="shared" si="16"/>
        <v>8.44079043000431</v>
      </c>
      <c r="I167" s="520">
        <f t="shared" si="17"/>
        <v>6.725431491979981</v>
      </c>
      <c r="J167" s="520">
        <f t="shared" si="18"/>
        <v>5.218971542790465</v>
      </c>
      <c r="K167" s="520">
        <f t="shared" si="19"/>
        <v>7.0884374078586925</v>
      </c>
      <c r="L167" s="520">
        <f t="shared" si="20"/>
        <v>6.876826274673756</v>
      </c>
      <c r="M167" s="523">
        <f t="shared" si="12"/>
        <v>59.01737647368987</v>
      </c>
      <c r="N167" s="523"/>
      <c r="O167" s="519">
        <f t="shared" si="13"/>
        <v>0.6290778117587312</v>
      </c>
      <c r="P167" s="498">
        <f t="shared" si="14"/>
        <v>59.646454285448606</v>
      </c>
    </row>
    <row r="168" spans="4:16" ht="14.25">
      <c r="D168" s="517">
        <f>$D$86</f>
        <v>12</v>
      </c>
      <c r="E168" s="518">
        <f>$O$86</f>
        <v>0.06598175808008781</v>
      </c>
      <c r="F168" s="518"/>
      <c r="G168" s="520">
        <f t="shared" si="15"/>
        <v>19.60607810649081</v>
      </c>
      <c r="H168" s="520">
        <f t="shared" si="16"/>
        <v>6.709017622406661</v>
      </c>
      <c r="I168" s="520">
        <f t="shared" si="17"/>
        <v>6.2031964302958755</v>
      </c>
      <c r="J168" s="520">
        <f t="shared" si="18"/>
        <v>4.27982004035089</v>
      </c>
      <c r="K168" s="520">
        <f t="shared" si="19"/>
        <v>5.218971542790465</v>
      </c>
      <c r="L168" s="520">
        <f t="shared" si="20"/>
        <v>5.063169577041931</v>
      </c>
      <c r="M168" s="523">
        <f t="shared" si="12"/>
        <v>47.08025331937663</v>
      </c>
      <c r="N168" s="523"/>
      <c r="O168" s="519">
        <f t="shared" si="13"/>
        <v>0.6290778117587312</v>
      </c>
      <c r="P168" s="498">
        <f t="shared" si="14"/>
        <v>47.709331131135365</v>
      </c>
    </row>
    <row r="169" spans="4:16" ht="14.25">
      <c r="D169" s="517">
        <f>$D$87</f>
        <v>13</v>
      </c>
      <c r="E169" s="518">
        <f>$O$87</f>
        <v>0.05244446967230958</v>
      </c>
      <c r="F169" s="518"/>
      <c r="G169" s="520">
        <f t="shared" si="15"/>
        <v>15.5835551911293</v>
      </c>
      <c r="H169" s="520">
        <f t="shared" si="16"/>
        <v>5.332547683895062</v>
      </c>
      <c r="I169" s="520">
        <f t="shared" si="17"/>
        <v>4.930504377666899</v>
      </c>
      <c r="J169" s="520">
        <f t="shared" si="18"/>
        <v>3.9474886374610056</v>
      </c>
      <c r="K169" s="520">
        <f t="shared" si="19"/>
        <v>4.27982004035089</v>
      </c>
      <c r="L169" s="520">
        <f t="shared" si="20"/>
        <v>3.7278368162789093</v>
      </c>
      <c r="M169" s="523">
        <f t="shared" si="12"/>
        <v>37.801752746782064</v>
      </c>
      <c r="N169" s="523"/>
      <c r="O169" s="519">
        <f t="shared" si="13"/>
        <v>0.6290778117587312</v>
      </c>
      <c r="P169" s="498">
        <f t="shared" si="14"/>
        <v>38.4308305585408</v>
      </c>
    </row>
    <row r="170" spans="4:16" ht="14.25">
      <c r="D170" s="517">
        <f>$D$88</f>
        <v>14</v>
      </c>
      <c r="E170" s="518">
        <f>$O$88</f>
        <v>0.04168458797159317</v>
      </c>
      <c r="F170" s="518"/>
      <c r="G170" s="520">
        <f t="shared" si="15"/>
        <v>12.386321786332967</v>
      </c>
      <c r="H170" s="520">
        <f t="shared" si="16"/>
        <v>4.2384841420067705</v>
      </c>
      <c r="I170" s="520">
        <f t="shared" si="17"/>
        <v>3.9189269099177837</v>
      </c>
      <c r="J170" s="520">
        <f t="shared" si="18"/>
        <v>3.1375936948789307</v>
      </c>
      <c r="K170" s="520">
        <f t="shared" si="19"/>
        <v>3.9474886374610056</v>
      </c>
      <c r="L170" s="520">
        <f t="shared" si="20"/>
        <v>3.057014314536355</v>
      </c>
      <c r="M170" s="523">
        <f t="shared" si="12"/>
        <v>30.685829485133816</v>
      </c>
      <c r="N170" s="523"/>
      <c r="O170" s="519">
        <f t="shared" si="13"/>
        <v>0.6290778117587312</v>
      </c>
      <c r="P170" s="498">
        <f t="shared" si="14"/>
        <v>31.314907296892546</v>
      </c>
    </row>
    <row r="171" spans="4:16" ht="14.25">
      <c r="D171" s="517">
        <f>$D$89</f>
        <v>15</v>
      </c>
      <c r="E171" s="518">
        <f>$O$89</f>
        <v>0.03313228039521844</v>
      </c>
      <c r="F171" s="518"/>
      <c r="G171" s="520">
        <f t="shared" si="15"/>
        <v>9.845055605919715</v>
      </c>
      <c r="H171" s="520">
        <f t="shared" si="16"/>
        <v>3.3688864848407403</v>
      </c>
      <c r="I171" s="520">
        <f t="shared" si="17"/>
        <v>3.1148918952070996</v>
      </c>
      <c r="J171" s="520">
        <f t="shared" si="18"/>
        <v>2.4938625790385855</v>
      </c>
      <c r="K171" s="520">
        <f t="shared" si="19"/>
        <v>3.1375936948789307</v>
      </c>
      <c r="L171" s="520">
        <f t="shared" si="20"/>
        <v>2.8196347410435796</v>
      </c>
      <c r="M171" s="523">
        <f t="shared" si="12"/>
        <v>24.77992500092865</v>
      </c>
      <c r="N171" s="523"/>
      <c r="O171" s="519">
        <f t="shared" si="13"/>
        <v>0.6290778117587312</v>
      </c>
      <c r="P171" s="498">
        <f t="shared" si="14"/>
        <v>25.40900281268738</v>
      </c>
    </row>
    <row r="172" spans="4:16" ht="14.25">
      <c r="D172" s="517">
        <f>$D$90</f>
        <v>16</v>
      </c>
      <c r="E172" s="518">
        <f>$O$90</f>
        <v>0.026334625280102514</v>
      </c>
      <c r="F172" s="518"/>
      <c r="G172" s="520">
        <f t="shared" si="15"/>
        <v>7.825173732414894</v>
      </c>
      <c r="H172" s="520">
        <f t="shared" si="16"/>
        <v>2.6777016894462347</v>
      </c>
      <c r="I172" s="520">
        <f t="shared" si="17"/>
        <v>2.4758184426130136</v>
      </c>
      <c r="J172" s="520">
        <f t="shared" si="18"/>
        <v>1.9822039333136057</v>
      </c>
      <c r="K172" s="520">
        <f t="shared" si="19"/>
        <v>2.4938625790385855</v>
      </c>
      <c r="L172" s="520">
        <f t="shared" si="20"/>
        <v>2.241138353484954</v>
      </c>
      <c r="M172" s="523">
        <f t="shared" si="12"/>
        <v>19.695898730311285</v>
      </c>
      <c r="N172" s="523"/>
      <c r="O172" s="519">
        <f t="shared" si="13"/>
        <v>0.6290778117587312</v>
      </c>
      <c r="P172" s="498">
        <f t="shared" si="14"/>
        <v>20.324976542070015</v>
      </c>
    </row>
    <row r="173" spans="4:16" ht="14.25">
      <c r="D173" s="517">
        <f>$D$91</f>
        <v>17</v>
      </c>
      <c r="E173" s="518">
        <f>$O$91</f>
        <v>0.020931625604119333</v>
      </c>
      <c r="F173" s="518"/>
      <c r="G173" s="520">
        <f t="shared" si="15"/>
        <v>6.219705240228124</v>
      </c>
      <c r="H173" s="520">
        <f t="shared" si="16"/>
        <v>2.1283252997472744</v>
      </c>
      <c r="I173" s="520">
        <f t="shared" si="17"/>
        <v>1.9678618607003653</v>
      </c>
      <c r="J173" s="520">
        <f t="shared" si="18"/>
        <v>1.5755208271173697</v>
      </c>
      <c r="K173" s="520">
        <f t="shared" si="19"/>
        <v>1.9822039333136057</v>
      </c>
      <c r="L173" s="520">
        <f t="shared" si="20"/>
        <v>1.7813304135989925</v>
      </c>
      <c r="M173" s="523">
        <f t="shared" si="12"/>
        <v>15.65494757470573</v>
      </c>
      <c r="N173" s="523"/>
      <c r="O173" s="519">
        <f t="shared" si="13"/>
        <v>0.6290778117587312</v>
      </c>
      <c r="P173" s="498">
        <f t="shared" si="14"/>
        <v>16.28402538646446</v>
      </c>
    </row>
    <row r="174" spans="4:16" ht="14.25">
      <c r="D174" s="517">
        <f>$D$92</f>
        <v>18</v>
      </c>
      <c r="E174" s="518">
        <f>$O$92</f>
        <v>0.01663714390354593</v>
      </c>
      <c r="F174" s="518"/>
      <c r="G174" s="520">
        <f t="shared" si="15"/>
        <v>4.943626122328003</v>
      </c>
      <c r="H174" s="520">
        <f t="shared" si="16"/>
        <v>1.6916628911270228</v>
      </c>
      <c r="I174" s="520">
        <f t="shared" si="17"/>
        <v>1.5641212764826278</v>
      </c>
      <c r="J174" s="520">
        <f t="shared" si="18"/>
        <v>1.252275729536594</v>
      </c>
      <c r="K174" s="520">
        <f t="shared" si="19"/>
        <v>1.5755208271173697</v>
      </c>
      <c r="L174" s="520">
        <f t="shared" si="20"/>
        <v>1.4158599523668636</v>
      </c>
      <c r="M174" s="523">
        <f t="shared" si="12"/>
        <v>12.44306679895848</v>
      </c>
      <c r="N174" s="523"/>
      <c r="O174" s="519">
        <f t="shared" si="13"/>
        <v>0.6290778117587312</v>
      </c>
      <c r="P174" s="498">
        <f t="shared" si="14"/>
        <v>13.072144610717212</v>
      </c>
    </row>
    <row r="175" spans="4:16" ht="14.25">
      <c r="D175" s="517">
        <f>$D$93</f>
        <v>19</v>
      </c>
      <c r="E175" s="518">
        <f>$O$93</f>
        <v>0.013223748718915672</v>
      </c>
      <c r="F175" s="518"/>
      <c r="G175" s="520">
        <f t="shared" si="15"/>
        <v>3.9293565037926825</v>
      </c>
      <c r="H175" s="520">
        <f t="shared" si="16"/>
        <v>1.3445892587735764</v>
      </c>
      <c r="I175" s="520">
        <f t="shared" si="17"/>
        <v>1.2432149920700957</v>
      </c>
      <c r="J175" s="520">
        <f t="shared" si="18"/>
        <v>0.9953499032162162</v>
      </c>
      <c r="K175" s="520">
        <f t="shared" si="19"/>
        <v>1.252275729536594</v>
      </c>
      <c r="L175" s="520">
        <f t="shared" si="20"/>
        <v>1.1253720193695516</v>
      </c>
      <c r="M175" s="523">
        <f t="shared" si="12"/>
        <v>9.890158406758717</v>
      </c>
      <c r="N175" s="523"/>
      <c r="O175" s="519">
        <f t="shared" si="13"/>
        <v>0.6290778117587312</v>
      </c>
      <c r="P175" s="498">
        <f t="shared" si="14"/>
        <v>10.519236218517449</v>
      </c>
    </row>
    <row r="176" spans="4:16" ht="14.25">
      <c r="D176" s="517">
        <f>$D$94</f>
        <v>20</v>
      </c>
      <c r="E176" s="518">
        <f>$O$94</f>
        <v>0.010510670052192892</v>
      </c>
      <c r="F176" s="518"/>
      <c r="G176" s="520">
        <f t="shared" si="15"/>
        <v>3.1231816791653064</v>
      </c>
      <c r="H176" s="520">
        <f t="shared" si="16"/>
        <v>1.068723729941726</v>
      </c>
      <c r="I176" s="520">
        <f t="shared" si="17"/>
        <v>0.9881481313159634</v>
      </c>
      <c r="J176" s="520">
        <f t="shared" si="18"/>
        <v>0.7911368131355142</v>
      </c>
      <c r="K176" s="520">
        <f t="shared" si="19"/>
        <v>0.9953499032162162</v>
      </c>
      <c r="L176" s="520">
        <f t="shared" si="20"/>
        <v>0.8944826639547115</v>
      </c>
      <c r="M176" s="523">
        <f t="shared" si="12"/>
        <v>7.861022920729439</v>
      </c>
      <c r="N176" s="523"/>
      <c r="O176" s="519">
        <f t="shared" si="13"/>
        <v>0.6290778117587312</v>
      </c>
      <c r="P176" s="498">
        <f t="shared" si="14"/>
        <v>8.49010073248817</v>
      </c>
    </row>
    <row r="177" spans="4:16" ht="14.25">
      <c r="D177" s="517">
        <f>$D$95</f>
        <v>21</v>
      </c>
      <c r="E177" s="518">
        <f>$O$95</f>
        <v>0.008354225968317048</v>
      </c>
      <c r="F177" s="518"/>
      <c r="G177" s="520">
        <f t="shared" si="15"/>
        <v>2.4824074353291294</v>
      </c>
      <c r="H177" s="520">
        <f t="shared" si="16"/>
        <v>0.8494567418918313</v>
      </c>
      <c r="I177" s="520">
        <f t="shared" si="17"/>
        <v>0.785412608158265</v>
      </c>
      <c r="J177" s="520">
        <f t="shared" si="18"/>
        <v>0.6288215381101575</v>
      </c>
      <c r="K177" s="520">
        <f t="shared" si="19"/>
        <v>0.7911368131355142</v>
      </c>
      <c r="L177" s="520">
        <f t="shared" si="20"/>
        <v>0.7109642165830127</v>
      </c>
      <c r="M177" s="523">
        <f t="shared" si="12"/>
        <v>6.2481993532079105</v>
      </c>
      <c r="N177" s="523"/>
      <c r="O177" s="519">
        <f t="shared" si="13"/>
        <v>0.6290778117587312</v>
      </c>
      <c r="P177" s="498">
        <f t="shared" si="14"/>
        <v>6.8772771649666415</v>
      </c>
    </row>
    <row r="178" spans="4:16" ht="14.25">
      <c r="D178" s="517">
        <f>$D$96</f>
        <v>22</v>
      </c>
      <c r="E178" s="518">
        <f>$O$96</f>
        <v>0.00664021334350055</v>
      </c>
      <c r="F178" s="518"/>
      <c r="G178" s="520">
        <f t="shared" si="15"/>
        <v>1.9730990086443754</v>
      </c>
      <c r="H178" s="520">
        <f t="shared" si="16"/>
        <v>0.6751761340461963</v>
      </c>
      <c r="I178" s="520">
        <f t="shared" si="17"/>
        <v>0.624271751880408</v>
      </c>
      <c r="J178" s="520">
        <f t="shared" si="18"/>
        <v>0.4998080233734406</v>
      </c>
      <c r="K178" s="520">
        <f t="shared" si="19"/>
        <v>0.6288215381101575</v>
      </c>
      <c r="L178" s="520">
        <f t="shared" si="20"/>
        <v>0.5650977236682253</v>
      </c>
      <c r="M178" s="523">
        <f t="shared" si="12"/>
        <v>4.966274179722803</v>
      </c>
      <c r="N178" s="523"/>
      <c r="O178" s="519">
        <f t="shared" si="13"/>
        <v>0.6290778117587312</v>
      </c>
      <c r="P178" s="498">
        <f t="shared" si="14"/>
        <v>5.595351991481534</v>
      </c>
    </row>
    <row r="179" spans="4:16" ht="14.25">
      <c r="D179" s="517">
        <f>$D$97</f>
        <v>23</v>
      </c>
      <c r="E179" s="518">
        <f>$O$97</f>
        <v>0.005277859781914084</v>
      </c>
      <c r="F179" s="518"/>
      <c r="G179" s="520">
        <f t="shared" si="15"/>
        <v>1.5682839337762666</v>
      </c>
      <c r="H179" s="520">
        <f t="shared" si="16"/>
        <v>0.5366521795686869</v>
      </c>
      <c r="I179" s="520">
        <f t="shared" si="17"/>
        <v>0.4961917037589802</v>
      </c>
      <c r="J179" s="520">
        <f t="shared" si="18"/>
        <v>0.3972638421057135</v>
      </c>
      <c r="K179" s="520">
        <f t="shared" si="19"/>
        <v>0.4998080233734406</v>
      </c>
      <c r="L179" s="520">
        <f t="shared" si="20"/>
        <v>0.4491582415072561</v>
      </c>
      <c r="M179" s="523">
        <f t="shared" si="12"/>
        <v>3.9473579240903436</v>
      </c>
      <c r="N179" s="523"/>
      <c r="O179" s="519">
        <f t="shared" si="13"/>
        <v>0.6290778117587312</v>
      </c>
      <c r="P179" s="498">
        <f t="shared" si="14"/>
        <v>4.576435735849075</v>
      </c>
    </row>
    <row r="180" spans="4:16" ht="14.25">
      <c r="D180" s="517">
        <f>$D$98</f>
        <v>24</v>
      </c>
      <c r="E180" s="518">
        <f>$O$98</f>
        <v>0.004195016400310614</v>
      </c>
      <c r="F180" s="518"/>
      <c r="G180" s="520">
        <f t="shared" si="15"/>
        <v>1.2465236088839655</v>
      </c>
      <c r="H180" s="520">
        <f t="shared" si="16"/>
        <v>0.42654878825458836</v>
      </c>
      <c r="I180" s="520">
        <f t="shared" si="17"/>
        <v>0.3943894724334816</v>
      </c>
      <c r="J180" s="520">
        <f t="shared" si="18"/>
        <v>0.3157583569375324</v>
      </c>
      <c r="K180" s="520">
        <f t="shared" si="19"/>
        <v>0.3972638421057135</v>
      </c>
      <c r="L180" s="520">
        <f t="shared" si="20"/>
        <v>0.35700573098102956</v>
      </c>
      <c r="M180" s="523">
        <f t="shared" si="12"/>
        <v>3.1374897995963114</v>
      </c>
      <c r="N180" s="523"/>
      <c r="O180" s="519">
        <f t="shared" si="13"/>
        <v>0.6290778117587312</v>
      </c>
      <c r="P180" s="498">
        <f t="shared" si="14"/>
        <v>3.7665676113550424</v>
      </c>
    </row>
    <row r="181" spans="15:16" ht="14.25">
      <c r="O181" s="510"/>
      <c r="P181" s="443"/>
    </row>
    <row r="182" ht="14.25">
      <c r="O182" s="510"/>
    </row>
    <row r="183" spans="2:16" ht="14.25">
      <c r="B183" s="412">
        <f>Rekap!B173</f>
        <v>25</v>
      </c>
      <c r="D183" s="512" t="s">
        <v>366</v>
      </c>
      <c r="E183" s="512" t="s">
        <v>278</v>
      </c>
      <c r="F183" s="512"/>
      <c r="G183" s="513" t="s">
        <v>381</v>
      </c>
      <c r="H183" s="513"/>
      <c r="I183" s="513"/>
      <c r="J183" s="513"/>
      <c r="K183" s="513"/>
      <c r="L183" s="513"/>
      <c r="M183" s="514" t="s">
        <v>382</v>
      </c>
      <c r="N183" s="514"/>
      <c r="O183" s="522" t="s">
        <v>383</v>
      </c>
      <c r="P183" s="515" t="s">
        <v>384</v>
      </c>
    </row>
    <row r="184" spans="2:16" ht="14.25">
      <c r="B184" s="412"/>
      <c r="D184" s="512"/>
      <c r="E184" s="512"/>
      <c r="F184" s="512"/>
      <c r="G184" s="516">
        <v>1</v>
      </c>
      <c r="H184" s="516">
        <v>2</v>
      </c>
      <c r="I184" s="516">
        <v>3</v>
      </c>
      <c r="J184" s="516">
        <v>4</v>
      </c>
      <c r="K184" s="516">
        <v>5</v>
      </c>
      <c r="L184" s="516">
        <v>6</v>
      </c>
      <c r="M184" s="514"/>
      <c r="N184" s="514"/>
      <c r="O184" s="522"/>
      <c r="P184" s="515"/>
    </row>
    <row r="185" spans="4:16" ht="14.25">
      <c r="D185" s="512"/>
      <c r="E185" s="512"/>
      <c r="F185" s="512"/>
      <c r="G185" s="525">
        <f>Rekap!D173</f>
        <v>305.1804254606577</v>
      </c>
      <c r="H185" s="525">
        <f>Rekap!E173</f>
        <v>83.00431948302679</v>
      </c>
      <c r="I185" s="525">
        <f>Rekap!F173</f>
        <v>61.000459919721905</v>
      </c>
      <c r="J185" s="525">
        <f>Rekap!G173</f>
        <v>38.818474494368424</v>
      </c>
      <c r="K185" s="525">
        <f>Rekap!H173</f>
        <v>38.818474494368424</v>
      </c>
      <c r="L185" s="525">
        <f>Rekap!I173</f>
        <v>27.727481781691775</v>
      </c>
      <c r="M185" s="514"/>
      <c r="N185" s="514"/>
      <c r="O185" s="522"/>
      <c r="P185" s="515"/>
    </row>
    <row r="186" spans="4:16" ht="14.25">
      <c r="D186" s="517">
        <f>$D$71</f>
        <v>0</v>
      </c>
      <c r="E186" s="518">
        <f>$F$71</f>
        <v>0</v>
      </c>
      <c r="F186" s="518"/>
      <c r="G186" s="520">
        <f>E186*G185</f>
        <v>0</v>
      </c>
      <c r="H186" s="520"/>
      <c r="I186" s="520"/>
      <c r="J186" s="520"/>
      <c r="K186" s="520"/>
      <c r="L186" s="520"/>
      <c r="M186" s="523">
        <f>SUM(G186:L186)</f>
        <v>0</v>
      </c>
      <c r="N186" s="523"/>
      <c r="O186" s="525">
        <f>$E$38</f>
        <v>0.6290778117587312</v>
      </c>
      <c r="P186" s="521">
        <f>M186+O186</f>
        <v>0.6290778117587312</v>
      </c>
    </row>
    <row r="187" spans="4:16" ht="14.25">
      <c r="D187" s="517">
        <f>$D$72</f>
        <v>1</v>
      </c>
      <c r="E187" s="518">
        <f>$F$72</f>
        <v>0.08365888449340493</v>
      </c>
      <c r="F187" s="518"/>
      <c r="G187" s="520">
        <f>E187*$G$185</f>
        <v>25.531053963261336</v>
      </c>
      <c r="H187" s="520">
        <v>0</v>
      </c>
      <c r="I187" s="520"/>
      <c r="J187" s="520"/>
      <c r="K187" s="520"/>
      <c r="L187" s="520"/>
      <c r="M187" s="523">
        <f aca="true" t="shared" si="21" ref="M187:M213">SUM(G187:L187)</f>
        <v>25.531053963261336</v>
      </c>
      <c r="N187" s="523"/>
      <c r="O187" s="525">
        <f aca="true" t="shared" si="22" ref="O187:O213">$E$38</f>
        <v>0.6290778117587312</v>
      </c>
      <c r="P187" s="521">
        <f aca="true" t="shared" si="23" ref="P187:P213">M187+O187</f>
        <v>26.160131775020066</v>
      </c>
    </row>
    <row r="188" spans="4:16" ht="14.25">
      <c r="D188" s="517">
        <f>$D$73</f>
        <v>2</v>
      </c>
      <c r="E188" s="518">
        <f>$F$73</f>
        <v>0.4415542395819344</v>
      </c>
      <c r="F188" s="518"/>
      <c r="G188" s="520">
        <f aca="true" t="shared" si="24" ref="G188:G213">E188*$G$185</f>
        <v>134.75371069957194</v>
      </c>
      <c r="H188" s="520">
        <f>E187*$H$185</f>
        <v>6.944048776084219</v>
      </c>
      <c r="I188" s="520">
        <v>0</v>
      </c>
      <c r="J188" s="520"/>
      <c r="K188" s="520"/>
      <c r="L188" s="520"/>
      <c r="M188" s="523">
        <f t="shared" si="21"/>
        <v>141.69775947565617</v>
      </c>
      <c r="N188" s="523"/>
      <c r="O188" s="525">
        <f t="shared" si="22"/>
        <v>0.6290778117587312</v>
      </c>
      <c r="P188" s="521">
        <f t="shared" si="23"/>
        <v>142.3268372874149</v>
      </c>
    </row>
    <row r="189" spans="4:16" ht="14.25">
      <c r="D189" s="517">
        <f>$D$74</f>
        <v>3</v>
      </c>
      <c r="E189" s="518">
        <f>$F$74</f>
        <v>1.1684310265780802</v>
      </c>
      <c r="F189" s="518"/>
      <c r="G189" s="520">
        <f t="shared" si="24"/>
        <v>356.5822778125316</v>
      </c>
      <c r="H189" s="520">
        <f aca="true" t="shared" si="25" ref="H189:H213">E188*$H$185</f>
        <v>36.650909171343834</v>
      </c>
      <c r="I189" s="520">
        <f>E187*$I$185</f>
        <v>5.103230430468592</v>
      </c>
      <c r="J189" s="520">
        <v>0</v>
      </c>
      <c r="K189" s="520"/>
      <c r="L189" s="520"/>
      <c r="M189" s="523">
        <f t="shared" si="21"/>
        <v>398.336417414344</v>
      </c>
      <c r="N189" s="523"/>
      <c r="O189" s="525">
        <f t="shared" si="22"/>
        <v>0.6290778117587312</v>
      </c>
      <c r="P189" s="521">
        <f t="shared" si="23"/>
        <v>398.96549522610275</v>
      </c>
    </row>
    <row r="190" spans="4:16" ht="14.25">
      <c r="D190" s="500">
        <f>$D$75</f>
        <v>3.09392149</v>
      </c>
      <c r="E190" s="518">
        <f>$F$75</f>
        <v>1.2581556235174625</v>
      </c>
      <c r="F190" s="518"/>
      <c r="G190" s="520">
        <f t="shared" si="24"/>
        <v>383.9644684807783</v>
      </c>
      <c r="H190" s="520">
        <f t="shared" si="25"/>
        <v>96.98482222396794</v>
      </c>
      <c r="I190" s="520">
        <f aca="true" t="shared" si="26" ref="I190:I213">E188*$I$185</f>
        <v>26.935011694001073</v>
      </c>
      <c r="J190" s="520">
        <f>E187*$J$185</f>
        <v>3.2475102739345534</v>
      </c>
      <c r="K190" s="520">
        <v>0</v>
      </c>
      <c r="L190" s="520"/>
      <c r="M190" s="523">
        <f t="shared" si="21"/>
        <v>511.1318126726818</v>
      </c>
      <c r="N190" s="523"/>
      <c r="O190" s="525">
        <f t="shared" si="22"/>
        <v>0.6290778117587312</v>
      </c>
      <c r="P190" s="521">
        <f t="shared" si="23"/>
        <v>511.76089048444055</v>
      </c>
    </row>
    <row r="191" spans="4:16" ht="14.25">
      <c r="D191" s="517">
        <f>$D$76</f>
        <v>4</v>
      </c>
      <c r="E191" s="518">
        <f>$I$76</f>
        <v>0.8298860821192442</v>
      </c>
      <c r="F191" s="518"/>
      <c r="G191" s="520">
        <f t="shared" si="24"/>
        <v>253.26498762502928</v>
      </c>
      <c r="H191" s="520">
        <f t="shared" si="25"/>
        <v>104.43235133381023</v>
      </c>
      <c r="I191" s="520">
        <f t="shared" si="26"/>
        <v>71.2748300057357</v>
      </c>
      <c r="J191" s="520">
        <f aca="true" t="shared" si="27" ref="J191:J212">E188*$J$185</f>
        <v>17.140461987091566</v>
      </c>
      <c r="K191" s="520">
        <f>E187*$K$185</f>
        <v>3.2475102739345534</v>
      </c>
      <c r="L191" s="520">
        <v>0</v>
      </c>
      <c r="M191" s="523">
        <f t="shared" si="21"/>
        <v>449.3601412256013</v>
      </c>
      <c r="N191" s="523"/>
      <c r="O191" s="525">
        <f t="shared" si="22"/>
        <v>0.6290778117587312</v>
      </c>
      <c r="P191" s="521">
        <f t="shared" si="23"/>
        <v>449.98921903736004</v>
      </c>
    </row>
    <row r="192" spans="4:16" ht="14.25">
      <c r="D192" s="517">
        <f>$D$77</f>
        <v>5</v>
      </c>
      <c r="E192" s="518">
        <f>$I$77</f>
        <v>0.5242882336434767</v>
      </c>
      <c r="F192" s="518"/>
      <c r="G192" s="520">
        <f t="shared" si="24"/>
        <v>160.0025062073329</v>
      </c>
      <c r="H192" s="520">
        <f t="shared" si="25"/>
        <v>68.88412949474315</v>
      </c>
      <c r="I192" s="520">
        <f t="shared" si="26"/>
        <v>76.7480716851497</v>
      </c>
      <c r="J192" s="520">
        <f t="shared" si="27"/>
        <v>45.35671000364992</v>
      </c>
      <c r="K192" s="520">
        <f aca="true" t="shared" si="28" ref="K192:K213">E188*$K$185</f>
        <v>17.140461987091566</v>
      </c>
      <c r="L192" s="520">
        <f>E187*$L$185</f>
        <v>2.319650195667542</v>
      </c>
      <c r="M192" s="523">
        <f t="shared" si="21"/>
        <v>370.4515295736348</v>
      </c>
      <c r="N192" s="523"/>
      <c r="O192" s="525">
        <f t="shared" si="22"/>
        <v>0.6290778117587312</v>
      </c>
      <c r="P192" s="521">
        <f t="shared" si="23"/>
        <v>371.08060738539353</v>
      </c>
    </row>
    <row r="193" spans="4:16" ht="14.25">
      <c r="D193" s="500">
        <f>$D$78</f>
        <v>5.71554605</v>
      </c>
      <c r="E193" s="518">
        <f>$I$78</f>
        <v>0.3774466870552386</v>
      </c>
      <c r="F193" s="518"/>
      <c r="G193" s="520">
        <f t="shared" si="24"/>
        <v>115.18934054423345</v>
      </c>
      <c r="H193" s="520">
        <f t="shared" si="25"/>
        <v>43.51818804653493</v>
      </c>
      <c r="I193" s="520">
        <f t="shared" si="26"/>
        <v>50.62343269025</v>
      </c>
      <c r="J193" s="520">
        <f t="shared" si="27"/>
        <v>48.83968198145882</v>
      </c>
      <c r="K193" s="520">
        <f t="shared" si="28"/>
        <v>45.35671000364992</v>
      </c>
      <c r="L193" s="520">
        <f aca="true" t="shared" si="29" ref="L193:L213">E188*$L$185</f>
        <v>12.243187133636852</v>
      </c>
      <c r="M193" s="523">
        <f t="shared" si="21"/>
        <v>315.770540399764</v>
      </c>
      <c r="N193" s="523"/>
      <c r="O193" s="525">
        <f t="shared" si="22"/>
        <v>0.6290778117587312</v>
      </c>
      <c r="P193" s="521">
        <f t="shared" si="23"/>
        <v>316.39961821152275</v>
      </c>
    </row>
    <row r="194" spans="4:16" ht="14.25">
      <c r="D194" s="517">
        <f>$D$79</f>
        <v>6</v>
      </c>
      <c r="E194" s="518">
        <f>$L$79</f>
        <v>0.3459656917135998</v>
      </c>
      <c r="F194" s="518"/>
      <c r="G194" s="520">
        <f t="shared" si="24"/>
        <v>105.58195699194714</v>
      </c>
      <c r="H194" s="520">
        <f t="shared" si="25"/>
        <v>31.329705400143055</v>
      </c>
      <c r="I194" s="520">
        <f t="shared" si="26"/>
        <v>31.98182338275069</v>
      </c>
      <c r="J194" s="520">
        <f t="shared" si="27"/>
        <v>32.21491171197722</v>
      </c>
      <c r="K194" s="520">
        <f t="shared" si="28"/>
        <v>48.83968198145882</v>
      </c>
      <c r="L194" s="520">
        <f t="shared" si="29"/>
        <v>32.397650002607136</v>
      </c>
      <c r="M194" s="523">
        <f t="shared" si="21"/>
        <v>282.34572947088407</v>
      </c>
      <c r="N194" s="523"/>
      <c r="O194" s="525">
        <f t="shared" si="22"/>
        <v>0.6290778117587312</v>
      </c>
      <c r="P194" s="521">
        <f t="shared" si="23"/>
        <v>282.9748072826428</v>
      </c>
    </row>
    <row r="195" spans="4:16" ht="14.25">
      <c r="D195" s="517">
        <f>$D$80</f>
        <v>7</v>
      </c>
      <c r="E195" s="518">
        <f>$L$80</f>
        <v>0.25472258495692024</v>
      </c>
      <c r="F195" s="518"/>
      <c r="G195" s="520">
        <f t="shared" si="24"/>
        <v>77.73634685159145</v>
      </c>
      <c r="H195" s="520">
        <f t="shared" si="25"/>
        <v>28.716646805161993</v>
      </c>
      <c r="I195" s="520">
        <f t="shared" si="26"/>
        <v>23.0244215055449</v>
      </c>
      <c r="J195" s="520">
        <f t="shared" si="27"/>
        <v>20.352069425386773</v>
      </c>
      <c r="K195" s="520">
        <f t="shared" si="28"/>
        <v>32.21491171197722</v>
      </c>
      <c r="L195" s="520">
        <f t="shared" si="29"/>
        <v>34.885487129613495</v>
      </c>
      <c r="M195" s="523">
        <f t="shared" si="21"/>
        <v>216.9298834292758</v>
      </c>
      <c r="N195" s="523"/>
      <c r="O195" s="525">
        <f t="shared" si="22"/>
        <v>0.6290778117587312</v>
      </c>
      <c r="P195" s="521">
        <f t="shared" si="23"/>
        <v>217.55896124103452</v>
      </c>
    </row>
    <row r="196" spans="4:16" ht="14.25">
      <c r="D196" s="517">
        <f>$D$81</f>
        <v>8</v>
      </c>
      <c r="E196" s="518">
        <f>$L$81</f>
        <v>0.18754343809572857</v>
      </c>
      <c r="F196" s="518"/>
      <c r="G196" s="520">
        <f t="shared" si="24"/>
        <v>57.234586230408965</v>
      </c>
      <c r="H196" s="520">
        <f t="shared" si="25"/>
        <v>21.14307482130664</v>
      </c>
      <c r="I196" s="520">
        <f t="shared" si="26"/>
        <v>21.10406631097431</v>
      </c>
      <c r="J196" s="520">
        <f t="shared" si="27"/>
        <v>14.65190459443764</v>
      </c>
      <c r="K196" s="520">
        <f t="shared" si="28"/>
        <v>20.352069425386773</v>
      </c>
      <c r="L196" s="520">
        <f t="shared" si="29"/>
        <v>23.01065122284091</v>
      </c>
      <c r="M196" s="523">
        <f t="shared" si="21"/>
        <v>157.49635260535524</v>
      </c>
      <c r="N196" s="523"/>
      <c r="O196" s="525">
        <f t="shared" si="22"/>
        <v>0.6290778117587312</v>
      </c>
      <c r="P196" s="521">
        <f t="shared" si="23"/>
        <v>158.12543041711396</v>
      </c>
    </row>
    <row r="197" spans="4:16" ht="14.25">
      <c r="D197" s="517">
        <f>$D$82</f>
        <v>9</v>
      </c>
      <c r="E197" s="518">
        <f>$L$82</f>
        <v>0.13808175344449689</v>
      </c>
      <c r="F197" s="518"/>
      <c r="G197" s="520">
        <f t="shared" si="24"/>
        <v>42.1398482645452</v>
      </c>
      <c r="H197" s="520">
        <f t="shared" si="25"/>
        <v>15.566915452643112</v>
      </c>
      <c r="I197" s="520">
        <f t="shared" si="26"/>
        <v>15.538194834312572</v>
      </c>
      <c r="J197" s="520">
        <f t="shared" si="27"/>
        <v>13.429860379710904</v>
      </c>
      <c r="K197" s="520">
        <f t="shared" si="28"/>
        <v>14.65190459443764</v>
      </c>
      <c r="L197" s="520">
        <f t="shared" si="29"/>
        <v>14.537192446704859</v>
      </c>
      <c r="M197" s="523">
        <f t="shared" si="21"/>
        <v>115.86391597235429</v>
      </c>
      <c r="N197" s="523"/>
      <c r="O197" s="525">
        <f t="shared" si="22"/>
        <v>0.6290778117587312</v>
      </c>
      <c r="P197" s="521">
        <f t="shared" si="23"/>
        <v>116.49299378411303</v>
      </c>
    </row>
    <row r="198" spans="4:16" ht="14.25">
      <c r="D198" s="500">
        <f>$D$83</f>
        <v>9.64798289</v>
      </c>
      <c r="E198" s="518">
        <f>$L$83</f>
        <v>0.11323400611657154</v>
      </c>
      <c r="F198" s="518"/>
      <c r="G198" s="520">
        <f t="shared" si="24"/>
        <v>34.55680216327002</v>
      </c>
      <c r="H198" s="520">
        <f t="shared" si="25"/>
        <v>11.461381977683555</v>
      </c>
      <c r="I198" s="520">
        <f t="shared" si="26"/>
        <v>11.440235978765337</v>
      </c>
      <c r="J198" s="520">
        <f t="shared" si="27"/>
        <v>9.887942167289802</v>
      </c>
      <c r="K198" s="520">
        <f t="shared" si="28"/>
        <v>13.429860379710904</v>
      </c>
      <c r="L198" s="520">
        <f t="shared" si="29"/>
        <v>10.465646138884045</v>
      </c>
      <c r="M198" s="523">
        <f t="shared" si="21"/>
        <v>91.24186880560366</v>
      </c>
      <c r="N198" s="523"/>
      <c r="O198" s="525">
        <f t="shared" si="22"/>
        <v>0.6290778117587312</v>
      </c>
      <c r="P198" s="521">
        <f t="shared" si="23"/>
        <v>91.87094661736239</v>
      </c>
    </row>
    <row r="199" spans="4:16" ht="14.25">
      <c r="D199" s="517">
        <f>$D$84</f>
        <v>10</v>
      </c>
      <c r="E199" s="518">
        <f>$O$84</f>
        <v>0.10444129620055444</v>
      </c>
      <c r="F199" s="518"/>
      <c r="G199" s="520">
        <f t="shared" si="24"/>
        <v>31.873439210147776</v>
      </c>
      <c r="H199" s="520">
        <f t="shared" si="25"/>
        <v>9.398911620042915</v>
      </c>
      <c r="I199" s="520">
        <f t="shared" si="26"/>
        <v>8.423050466635955</v>
      </c>
      <c r="J199" s="520">
        <f t="shared" si="27"/>
        <v>7.280150168305203</v>
      </c>
      <c r="K199" s="520">
        <f t="shared" si="28"/>
        <v>9.887942167289802</v>
      </c>
      <c r="L199" s="520">
        <f t="shared" si="29"/>
        <v>9.592757414079232</v>
      </c>
      <c r="M199" s="523">
        <f t="shared" si="21"/>
        <v>76.45625104650088</v>
      </c>
      <c r="N199" s="523"/>
      <c r="O199" s="525">
        <f t="shared" si="22"/>
        <v>0.6290778117587312</v>
      </c>
      <c r="P199" s="521">
        <f t="shared" si="23"/>
        <v>77.08532885825962</v>
      </c>
    </row>
    <row r="200" spans="4:16" ht="14.25">
      <c r="D200" s="517">
        <f>$D$85</f>
        <v>11</v>
      </c>
      <c r="E200" s="518">
        <f>$O$85</f>
        <v>0.08301337446144315</v>
      </c>
      <c r="F200" s="518"/>
      <c r="G200" s="520">
        <f t="shared" si="24"/>
        <v>25.334056937068116</v>
      </c>
      <c r="H200" s="520">
        <f t="shared" si="25"/>
        <v>8.669078717052253</v>
      </c>
      <c r="I200" s="520">
        <f t="shared" si="26"/>
        <v>6.907326451663468</v>
      </c>
      <c r="J200" s="520">
        <f t="shared" si="27"/>
        <v>5.3601230242228715</v>
      </c>
      <c r="K200" s="520">
        <f t="shared" si="28"/>
        <v>7.280150168305203</v>
      </c>
      <c r="L200" s="520">
        <f t="shared" si="29"/>
        <v>7.0628158337784415</v>
      </c>
      <c r="M200" s="523">
        <f t="shared" si="21"/>
        <v>60.61355113209036</v>
      </c>
      <c r="N200" s="523"/>
      <c r="O200" s="525">
        <f t="shared" si="22"/>
        <v>0.6290778117587312</v>
      </c>
      <c r="P200" s="521">
        <f t="shared" si="23"/>
        <v>61.24262894384909</v>
      </c>
    </row>
    <row r="201" spans="4:16" ht="14.25">
      <c r="D201" s="517">
        <f>$D$86</f>
        <v>12</v>
      </c>
      <c r="E201" s="518">
        <f>$O$86</f>
        <v>0.06598175808008781</v>
      </c>
      <c r="F201" s="518"/>
      <c r="G201" s="520">
        <f t="shared" si="24"/>
        <v>20.136341003523388</v>
      </c>
      <c r="H201" s="520">
        <f t="shared" si="25"/>
        <v>6.890468655161764</v>
      </c>
      <c r="I201" s="520">
        <f t="shared" si="26"/>
        <v>6.370967102845724</v>
      </c>
      <c r="J201" s="520">
        <f t="shared" si="27"/>
        <v>4.39557137833129</v>
      </c>
      <c r="K201" s="520">
        <f t="shared" si="28"/>
        <v>5.3601230242228715</v>
      </c>
      <c r="L201" s="520">
        <f t="shared" si="29"/>
        <v>5.200107263075153</v>
      </c>
      <c r="M201" s="523">
        <f t="shared" si="21"/>
        <v>48.353578427160194</v>
      </c>
      <c r="N201" s="523"/>
      <c r="O201" s="525">
        <f t="shared" si="22"/>
        <v>0.6290778117587312</v>
      </c>
      <c r="P201" s="521">
        <f t="shared" si="23"/>
        <v>48.98265623891893</v>
      </c>
    </row>
    <row r="202" spans="4:16" ht="14.25">
      <c r="D202" s="517">
        <f>$D$87</f>
        <v>13</v>
      </c>
      <c r="E202" s="518">
        <f>$O$87</f>
        <v>0.05244446967230958</v>
      </c>
      <c r="F202" s="518"/>
      <c r="G202" s="520">
        <f t="shared" si="24"/>
        <v>16.005025567654</v>
      </c>
      <c r="H202" s="520">
        <f t="shared" si="25"/>
        <v>5.476770927731393</v>
      </c>
      <c r="I202" s="520">
        <f t="shared" si="26"/>
        <v>5.0638540216361285</v>
      </c>
      <c r="J202" s="520">
        <f t="shared" si="27"/>
        <v>4.054251792720001</v>
      </c>
      <c r="K202" s="520">
        <f t="shared" si="28"/>
        <v>4.39557137833129</v>
      </c>
      <c r="L202" s="520">
        <f t="shared" si="29"/>
        <v>3.8286593030163427</v>
      </c>
      <c r="M202" s="523">
        <f t="shared" si="21"/>
        <v>38.82413299108916</v>
      </c>
      <c r="N202" s="523"/>
      <c r="O202" s="525">
        <f t="shared" si="22"/>
        <v>0.6290778117587312</v>
      </c>
      <c r="P202" s="521">
        <f t="shared" si="23"/>
        <v>39.45321080284789</v>
      </c>
    </row>
    <row r="203" spans="4:16" ht="14.25">
      <c r="D203" s="517">
        <f>$D$88</f>
        <v>14</v>
      </c>
      <c r="E203" s="518">
        <f>$O$88</f>
        <v>0.04168458797159317</v>
      </c>
      <c r="F203" s="518"/>
      <c r="G203" s="520">
        <f t="shared" si="24"/>
        <v>12.721320292323018</v>
      </c>
      <c r="H203" s="520">
        <f t="shared" si="25"/>
        <v>4.353117515798293</v>
      </c>
      <c r="I203" s="520">
        <f t="shared" si="26"/>
        <v>4.024917589197184</v>
      </c>
      <c r="J203" s="520">
        <f t="shared" si="27"/>
        <v>3.222452559222986</v>
      </c>
      <c r="K203" s="520">
        <f t="shared" si="28"/>
        <v>4.054251792720001</v>
      </c>
      <c r="L203" s="520">
        <f t="shared" si="29"/>
        <v>3.1396938416652125</v>
      </c>
      <c r="M203" s="523">
        <f t="shared" si="21"/>
        <v>31.515753590926693</v>
      </c>
      <c r="N203" s="523"/>
      <c r="O203" s="525">
        <f t="shared" si="22"/>
        <v>0.6290778117587312</v>
      </c>
      <c r="P203" s="521">
        <f t="shared" si="23"/>
        <v>32.144831402685426</v>
      </c>
    </row>
    <row r="204" spans="4:16" ht="14.25">
      <c r="D204" s="517">
        <f>$D$89</f>
        <v>15</v>
      </c>
      <c r="E204" s="518">
        <f>$O$89</f>
        <v>0.03313228039521844</v>
      </c>
      <c r="F204" s="518"/>
      <c r="G204" s="520">
        <f t="shared" si="24"/>
        <v>10.111323427494572</v>
      </c>
      <c r="H204" s="520">
        <f t="shared" si="25"/>
        <v>3.4600008575124552</v>
      </c>
      <c r="I204" s="520">
        <f t="shared" si="26"/>
        <v>3.1991367702567914</v>
      </c>
      <c r="J204" s="520">
        <f t="shared" si="27"/>
        <v>2.5613111931254764</v>
      </c>
      <c r="K204" s="520">
        <f t="shared" si="28"/>
        <v>3.222452559222986</v>
      </c>
      <c r="L204" s="520">
        <f t="shared" si="29"/>
        <v>2.8958941376571476</v>
      </c>
      <c r="M204" s="523">
        <f t="shared" si="21"/>
        <v>25.45011894526943</v>
      </c>
      <c r="N204" s="523"/>
      <c r="O204" s="525">
        <f t="shared" si="22"/>
        <v>0.6290778117587312</v>
      </c>
      <c r="P204" s="521">
        <f t="shared" si="23"/>
        <v>26.07919675702816</v>
      </c>
    </row>
    <row r="205" spans="4:16" ht="14.25">
      <c r="D205" s="517">
        <f>$D$90</f>
        <v>16</v>
      </c>
      <c r="E205" s="518">
        <f>$O$90</f>
        <v>0.026334625280102514</v>
      </c>
      <c r="F205" s="518"/>
      <c r="G205" s="520">
        <f t="shared" si="24"/>
        <v>8.036812147328678</v>
      </c>
      <c r="H205" s="520">
        <f t="shared" si="25"/>
        <v>2.750122387125937</v>
      </c>
      <c r="I205" s="520">
        <f t="shared" si="26"/>
        <v>2.542779037831291</v>
      </c>
      <c r="J205" s="520">
        <f t="shared" si="27"/>
        <v>2.035814308345228</v>
      </c>
      <c r="K205" s="520">
        <f t="shared" si="28"/>
        <v>2.5613111931254764</v>
      </c>
      <c r="L205" s="520">
        <f t="shared" si="29"/>
        <v>2.301751828016422</v>
      </c>
      <c r="M205" s="523">
        <f t="shared" si="21"/>
        <v>20.228590901773032</v>
      </c>
      <c r="N205" s="523"/>
      <c r="O205" s="525">
        <f t="shared" si="22"/>
        <v>0.6290778117587312</v>
      </c>
      <c r="P205" s="521">
        <f t="shared" si="23"/>
        <v>20.857668713531762</v>
      </c>
    </row>
    <row r="206" spans="4:16" ht="14.25">
      <c r="D206" s="517">
        <f>$D$91</f>
        <v>17</v>
      </c>
      <c r="E206" s="518">
        <f>$O$91</f>
        <v>0.020931625604119333</v>
      </c>
      <c r="F206" s="518"/>
      <c r="G206" s="520">
        <f t="shared" si="24"/>
        <v>6.387922407448334</v>
      </c>
      <c r="H206" s="520">
        <f t="shared" si="25"/>
        <v>2.185887650215423</v>
      </c>
      <c r="I206" s="520">
        <f t="shared" si="26"/>
        <v>2.0210843422975104</v>
      </c>
      <c r="J206" s="520">
        <f t="shared" si="27"/>
        <v>1.6181321149835461</v>
      </c>
      <c r="K206" s="520">
        <f t="shared" si="28"/>
        <v>2.035814308345228</v>
      </c>
      <c r="L206" s="520">
        <f t="shared" si="29"/>
        <v>1.829507995089629</v>
      </c>
      <c r="M206" s="523">
        <f t="shared" si="21"/>
        <v>16.078348818379666</v>
      </c>
      <c r="N206" s="523"/>
      <c r="O206" s="525">
        <f t="shared" si="22"/>
        <v>0.6290778117587312</v>
      </c>
      <c r="P206" s="521">
        <f t="shared" si="23"/>
        <v>16.707426630138396</v>
      </c>
    </row>
    <row r="207" spans="4:16" ht="14.25">
      <c r="D207" s="517">
        <f>$D$92</f>
        <v>18</v>
      </c>
      <c r="E207" s="518">
        <f>$O$92</f>
        <v>0.01663714390354593</v>
      </c>
      <c r="F207" s="518"/>
      <c r="G207" s="520">
        <f t="shared" si="24"/>
        <v>5.077330654934334</v>
      </c>
      <c r="H207" s="520">
        <f t="shared" si="25"/>
        <v>1.7374153389434248</v>
      </c>
      <c r="I207" s="520">
        <f t="shared" si="26"/>
        <v>1.6064242538997886</v>
      </c>
      <c r="J207" s="520">
        <f t="shared" si="27"/>
        <v>1.28614458146205</v>
      </c>
      <c r="K207" s="520">
        <f t="shared" si="28"/>
        <v>1.6181321149835461</v>
      </c>
      <c r="L207" s="520">
        <f t="shared" si="29"/>
        <v>1.4541530773894507</v>
      </c>
      <c r="M207" s="523">
        <f t="shared" si="21"/>
        <v>12.779600021612595</v>
      </c>
      <c r="N207" s="523"/>
      <c r="O207" s="525">
        <f t="shared" si="22"/>
        <v>0.6290778117587312</v>
      </c>
      <c r="P207" s="521">
        <f t="shared" si="23"/>
        <v>13.408677833371327</v>
      </c>
    </row>
    <row r="208" spans="4:16" ht="14.25">
      <c r="D208" s="517">
        <f>$D$93</f>
        <v>19</v>
      </c>
      <c r="E208" s="518">
        <f>$O$93</f>
        <v>0.013223748718915672</v>
      </c>
      <c r="F208" s="518"/>
      <c r="G208" s="520">
        <f t="shared" si="24"/>
        <v>4.035629260223512</v>
      </c>
      <c r="H208" s="520">
        <f t="shared" si="25"/>
        <v>1.3809548078550178</v>
      </c>
      <c r="I208" s="520">
        <f t="shared" si="26"/>
        <v>1.2768387887187063</v>
      </c>
      <c r="J208" s="520">
        <f t="shared" si="27"/>
        <v>1.0222699797544095</v>
      </c>
      <c r="K208" s="520">
        <f t="shared" si="28"/>
        <v>1.28614458146205</v>
      </c>
      <c r="L208" s="520">
        <f t="shared" si="29"/>
        <v>1.1558086535596777</v>
      </c>
      <c r="M208" s="523">
        <f t="shared" si="21"/>
        <v>10.157646071573373</v>
      </c>
      <c r="N208" s="523"/>
      <c r="O208" s="525">
        <f t="shared" si="22"/>
        <v>0.6290778117587312</v>
      </c>
      <c r="P208" s="521">
        <f t="shared" si="23"/>
        <v>10.786723883332105</v>
      </c>
    </row>
    <row r="209" spans="4:16" ht="14.25">
      <c r="D209" s="517">
        <f>$D$94</f>
        <v>20</v>
      </c>
      <c r="E209" s="518">
        <f>$O$94</f>
        <v>0.010510670052192892</v>
      </c>
      <c r="F209" s="518"/>
      <c r="G209" s="520">
        <f t="shared" si="24"/>
        <v>3.2076507584048204</v>
      </c>
      <c r="H209" s="520">
        <f t="shared" si="25"/>
        <v>1.0976282634281427</v>
      </c>
      <c r="I209" s="520">
        <f t="shared" si="26"/>
        <v>1.014873429866899</v>
      </c>
      <c r="J209" s="520">
        <f t="shared" si="27"/>
        <v>0.8125337746391754</v>
      </c>
      <c r="K209" s="520">
        <f t="shared" si="28"/>
        <v>1.0222699797544095</v>
      </c>
      <c r="L209" s="520">
        <f t="shared" si="29"/>
        <v>0.9186747010443229</v>
      </c>
      <c r="M209" s="523">
        <f t="shared" si="21"/>
        <v>8.073630907137769</v>
      </c>
      <c r="N209" s="523"/>
      <c r="O209" s="525">
        <f t="shared" si="22"/>
        <v>0.6290778117587312</v>
      </c>
      <c r="P209" s="521">
        <f t="shared" si="23"/>
        <v>8.7027087188965</v>
      </c>
    </row>
    <row r="210" spans="4:16" ht="14.25">
      <c r="D210" s="517">
        <f>$D$95</f>
        <v>21</v>
      </c>
      <c r="E210" s="518">
        <f>$O$95</f>
        <v>0.008354225968317048</v>
      </c>
      <c r="F210" s="518"/>
      <c r="G210" s="520">
        <f t="shared" si="24"/>
        <v>2.549546235405472</v>
      </c>
      <c r="H210" s="520">
        <f t="shared" si="25"/>
        <v>0.8724310149929007</v>
      </c>
      <c r="I210" s="520">
        <f t="shared" si="26"/>
        <v>0.8066547537166894</v>
      </c>
      <c r="J210" s="520">
        <f t="shared" si="27"/>
        <v>0.6458285462789347</v>
      </c>
      <c r="K210" s="520">
        <f t="shared" si="28"/>
        <v>0.8125337746391754</v>
      </c>
      <c r="L210" s="520">
        <f t="shared" si="29"/>
        <v>0.7301928426817221</v>
      </c>
      <c r="M210" s="523">
        <f t="shared" si="21"/>
        <v>6.417187167714894</v>
      </c>
      <c r="N210" s="523"/>
      <c r="O210" s="525">
        <f t="shared" si="22"/>
        <v>0.6290778117587312</v>
      </c>
      <c r="P210" s="521">
        <f t="shared" si="23"/>
        <v>7.046264979473625</v>
      </c>
    </row>
    <row r="211" spans="4:16" ht="14.25">
      <c r="D211" s="517">
        <f>$D$96</f>
        <v>22</v>
      </c>
      <c r="E211" s="518">
        <f>$O$96</f>
        <v>0.00664021334350055</v>
      </c>
      <c r="F211" s="518"/>
      <c r="G211" s="520">
        <f t="shared" si="24"/>
        <v>2.026463133319034</v>
      </c>
      <c r="H211" s="520">
        <f t="shared" si="25"/>
        <v>0.6934368413075871</v>
      </c>
      <c r="I211" s="520">
        <f t="shared" si="26"/>
        <v>0.6411557072482139</v>
      </c>
      <c r="J211" s="520">
        <f t="shared" si="27"/>
        <v>0.5133257523651651</v>
      </c>
      <c r="K211" s="520">
        <f t="shared" si="28"/>
        <v>0.6458285462789347</v>
      </c>
      <c r="L211" s="520">
        <f t="shared" si="29"/>
        <v>0.5803812675994119</v>
      </c>
      <c r="M211" s="523">
        <f t="shared" si="21"/>
        <v>5.100591248118347</v>
      </c>
      <c r="N211" s="523"/>
      <c r="O211" s="525">
        <f t="shared" si="22"/>
        <v>0.6290778117587312</v>
      </c>
      <c r="P211" s="521">
        <f t="shared" si="23"/>
        <v>5.729669059877078</v>
      </c>
    </row>
    <row r="212" spans="4:16" ht="14.25">
      <c r="D212" s="517">
        <f>$D$97</f>
        <v>23</v>
      </c>
      <c r="E212" s="518">
        <f>$O$97</f>
        <v>0.005277859781914084</v>
      </c>
      <c r="F212" s="518"/>
      <c r="G212" s="520">
        <f t="shared" si="24"/>
        <v>1.6106994937662342</v>
      </c>
      <c r="H212" s="520">
        <f t="shared" si="25"/>
        <v>0.5511663897993772</v>
      </c>
      <c r="I212" s="520">
        <f t="shared" si="26"/>
        <v>0.509611626340624</v>
      </c>
      <c r="J212" s="520">
        <f t="shared" si="27"/>
        <v>0.4080081773397718</v>
      </c>
      <c r="K212" s="520">
        <f t="shared" si="28"/>
        <v>0.5133257523651651</v>
      </c>
      <c r="L212" s="520">
        <f t="shared" si="29"/>
        <v>0.4613061044849541</v>
      </c>
      <c r="M212" s="523">
        <f t="shared" si="21"/>
        <v>4.054117544096127</v>
      </c>
      <c r="N212" s="523"/>
      <c r="O212" s="525">
        <f t="shared" si="22"/>
        <v>0.6290778117587312</v>
      </c>
      <c r="P212" s="521">
        <f t="shared" si="23"/>
        <v>4.683195355854858</v>
      </c>
    </row>
    <row r="213" spans="4:16" ht="14.25">
      <c r="D213" s="517">
        <f>$D$98</f>
        <v>24</v>
      </c>
      <c r="E213" s="518">
        <f>$O$98</f>
        <v>0.004195016400310614</v>
      </c>
      <c r="F213" s="518"/>
      <c r="G213" s="520">
        <f t="shared" si="24"/>
        <v>1.28023688986123</v>
      </c>
      <c r="H213" s="520">
        <f t="shared" si="25"/>
        <v>0.43808515952461474</v>
      </c>
      <c r="I213" s="520">
        <f t="shared" si="26"/>
        <v>0.4050560679186079</v>
      </c>
      <c r="J213" s="520">
        <f>E210*$J$185</f>
        <v>0.3242983076713057</v>
      </c>
      <c r="K213" s="520">
        <f t="shared" si="28"/>
        <v>0.4080081773397718</v>
      </c>
      <c r="L213" s="520">
        <f t="shared" si="29"/>
        <v>0.3666612516894043</v>
      </c>
      <c r="M213" s="523">
        <f t="shared" si="21"/>
        <v>3.222345854004934</v>
      </c>
      <c r="N213" s="523"/>
      <c r="O213" s="525">
        <f t="shared" si="22"/>
        <v>0.6290778117587312</v>
      </c>
      <c r="P213" s="521">
        <f t="shared" si="23"/>
        <v>3.851423665763665</v>
      </c>
    </row>
    <row r="214" spans="15:16" ht="14.25">
      <c r="O214" s="510"/>
      <c r="P214" s="443"/>
    </row>
    <row r="215" ht="14.25">
      <c r="O215" s="510"/>
    </row>
    <row r="216" spans="2:16" ht="14.25">
      <c r="B216" s="412">
        <f>Rekap!B174</f>
        <v>50</v>
      </c>
      <c r="D216" s="512" t="s">
        <v>366</v>
      </c>
      <c r="E216" s="512" t="s">
        <v>278</v>
      </c>
      <c r="F216" s="512"/>
      <c r="G216" s="513" t="s">
        <v>381</v>
      </c>
      <c r="H216" s="513"/>
      <c r="I216" s="513"/>
      <c r="J216" s="513"/>
      <c r="K216" s="513"/>
      <c r="L216" s="513"/>
      <c r="M216" s="514" t="s">
        <v>382</v>
      </c>
      <c r="N216" s="514"/>
      <c r="O216" s="522" t="s">
        <v>383</v>
      </c>
      <c r="P216" s="515" t="s">
        <v>384</v>
      </c>
    </row>
    <row r="217" spans="2:16" ht="14.25">
      <c r="B217" s="412"/>
      <c r="D217" s="512"/>
      <c r="E217" s="512"/>
      <c r="F217" s="512"/>
      <c r="G217" s="516">
        <v>1</v>
      </c>
      <c r="H217" s="516">
        <v>2</v>
      </c>
      <c r="I217" s="516">
        <v>3</v>
      </c>
      <c r="J217" s="516">
        <v>4</v>
      </c>
      <c r="K217" s="516">
        <v>5</v>
      </c>
      <c r="L217" s="516">
        <v>6</v>
      </c>
      <c r="M217" s="514"/>
      <c r="N217" s="514"/>
      <c r="O217" s="522"/>
      <c r="P217" s="515"/>
    </row>
    <row r="218" spans="4:16" ht="14.25">
      <c r="D218" s="512"/>
      <c r="E218" s="512"/>
      <c r="F218" s="512"/>
      <c r="G218" s="516">
        <f>Rekap!D174</f>
        <v>320.15399907142483</v>
      </c>
      <c r="H218" s="516">
        <f>Rekap!E174</f>
        <v>87.07689814174866</v>
      </c>
      <c r="I218" s="516">
        <f>Rekap!F174</f>
        <v>63.993426704927316</v>
      </c>
      <c r="J218" s="516">
        <f>Rekap!G174</f>
        <v>40.72308972131732</v>
      </c>
      <c r="K218" s="516">
        <f>Rekap!H174</f>
        <v>40.72308972131732</v>
      </c>
      <c r="L218" s="516">
        <f>Rekap!I174</f>
        <v>29.087921229512418</v>
      </c>
      <c r="M218" s="514"/>
      <c r="N218" s="514"/>
      <c r="O218" s="522"/>
      <c r="P218" s="515"/>
    </row>
    <row r="219" spans="4:16" ht="14.25">
      <c r="D219" s="517">
        <f>$D$71</f>
        <v>0</v>
      </c>
      <c r="E219" s="518">
        <f>$F$71</f>
        <v>0</v>
      </c>
      <c r="F219" s="518"/>
      <c r="G219" s="520">
        <f>E219*G218</f>
        <v>0</v>
      </c>
      <c r="H219" s="520"/>
      <c r="I219" s="520"/>
      <c r="J219" s="520"/>
      <c r="K219" s="520"/>
      <c r="L219" s="520"/>
      <c r="M219" s="523">
        <f>SUM(G219:L219)</f>
        <v>0</v>
      </c>
      <c r="N219" s="523"/>
      <c r="O219" s="525">
        <f>$E$38</f>
        <v>0.6290778117587312</v>
      </c>
      <c r="P219" s="521">
        <f>M219+O219</f>
        <v>0.6290778117587312</v>
      </c>
    </row>
    <row r="220" spans="4:16" ht="14.25">
      <c r="D220" s="517">
        <f>$D$72</f>
        <v>1</v>
      </c>
      <c r="E220" s="518">
        <f>$F$72</f>
        <v>0.08365888449340493</v>
      </c>
      <c r="F220" s="518"/>
      <c r="G220" s="520">
        <f>E220*$G$218</f>
        <v>26.783726428418</v>
      </c>
      <c r="H220" s="520">
        <v>0</v>
      </c>
      <c r="I220" s="520"/>
      <c r="J220" s="520"/>
      <c r="K220" s="520"/>
      <c r="L220" s="520"/>
      <c r="M220" s="523">
        <f aca="true" t="shared" si="30" ref="M220:M246">SUM(G220:L220)</f>
        <v>26.783726428418</v>
      </c>
      <c r="N220" s="523"/>
      <c r="O220" s="525">
        <f aca="true" t="shared" si="31" ref="O220:O246">$E$38</f>
        <v>0.6290778117587312</v>
      </c>
      <c r="P220" s="521">
        <f aca="true" t="shared" si="32" ref="P220:P246">M220+O220</f>
        <v>27.41280424017673</v>
      </c>
    </row>
    <row r="221" spans="4:16" ht="14.25">
      <c r="D221" s="517">
        <f>$D$73</f>
        <v>2</v>
      </c>
      <c r="E221" s="518">
        <f>$F$73</f>
        <v>0.4415542395819344</v>
      </c>
      <c r="F221" s="518"/>
      <c r="G221" s="520">
        <f aca="true" t="shared" si="33" ref="G221:G245">E221*$G$218</f>
        <v>141.36535560909832</v>
      </c>
      <c r="H221" s="520">
        <f>E220*$H$218</f>
        <v>7.284756163684538</v>
      </c>
      <c r="I221" s="520">
        <v>0</v>
      </c>
      <c r="J221" s="520"/>
      <c r="K221" s="520"/>
      <c r="L221" s="520"/>
      <c r="M221" s="523">
        <f t="shared" si="30"/>
        <v>148.65011177278285</v>
      </c>
      <c r="N221" s="523"/>
      <c r="O221" s="525">
        <f t="shared" si="31"/>
        <v>0.6290778117587312</v>
      </c>
      <c r="P221" s="521">
        <f t="shared" si="32"/>
        <v>149.27918958454157</v>
      </c>
    </row>
    <row r="222" spans="4:16" ht="14.25">
      <c r="D222" s="517">
        <f>$D$74</f>
        <v>3</v>
      </c>
      <c r="E222" s="518">
        <f>$F$74</f>
        <v>1.1684310265780802</v>
      </c>
      <c r="F222" s="518"/>
      <c r="G222" s="520">
        <f t="shared" si="33"/>
        <v>374.07786579810266</v>
      </c>
      <c r="H222" s="520">
        <f aca="true" t="shared" si="34" ref="H222:H246">E221*$H$218</f>
        <v>38.44917354413339</v>
      </c>
      <c r="I222" s="520">
        <f>E220*$I$218</f>
        <v>5.353618693044689</v>
      </c>
      <c r="J222" s="520">
        <v>0</v>
      </c>
      <c r="K222" s="520"/>
      <c r="L222" s="520"/>
      <c r="M222" s="523">
        <f t="shared" si="30"/>
        <v>417.8806580352807</v>
      </c>
      <c r="N222" s="523"/>
      <c r="O222" s="525">
        <f t="shared" si="31"/>
        <v>0.6290778117587312</v>
      </c>
      <c r="P222" s="521">
        <f t="shared" si="32"/>
        <v>418.50973584703945</v>
      </c>
    </row>
    <row r="223" spans="4:16" ht="14.25">
      <c r="D223" s="500">
        <f>$D$75</f>
        <v>3.09392149</v>
      </c>
      <c r="E223" s="518">
        <f>$F$75</f>
        <v>1.2581556235174625</v>
      </c>
      <c r="F223" s="518"/>
      <c r="G223" s="520">
        <f t="shared" si="33"/>
        <v>402.8035543233176</v>
      </c>
      <c r="H223" s="520">
        <f t="shared" si="34"/>
        <v>101.74334948699831</v>
      </c>
      <c r="I223" s="520">
        <f aca="true" t="shared" si="35" ref="I223:I246">E221*$I$218</f>
        <v>28.256568866936437</v>
      </c>
      <c r="J223" s="520">
        <f>E220*$J$218</f>
        <v>3.4068482592102516</v>
      </c>
      <c r="K223" s="520">
        <v>0</v>
      </c>
      <c r="L223" s="520"/>
      <c r="M223" s="523">
        <f t="shared" si="30"/>
        <v>536.2103209364626</v>
      </c>
      <c r="N223" s="523"/>
      <c r="O223" s="525">
        <f t="shared" si="31"/>
        <v>0.6290778117587312</v>
      </c>
      <c r="P223" s="521">
        <f t="shared" si="32"/>
        <v>536.8393987482214</v>
      </c>
    </row>
    <row r="224" spans="4:16" ht="14.25">
      <c r="D224" s="517">
        <f>$D$76</f>
        <v>4</v>
      </c>
      <c r="E224" s="518">
        <f>$I$76</f>
        <v>0.8298860821192442</v>
      </c>
      <c r="F224" s="518"/>
      <c r="G224" s="520">
        <f t="shared" si="33"/>
        <v>265.6913479641929</v>
      </c>
      <c r="H224" s="520">
        <f t="shared" si="34"/>
        <v>109.55628907549836</v>
      </c>
      <c r="I224" s="520">
        <f t="shared" si="35"/>
        <v>74.77190525908736</v>
      </c>
      <c r="J224" s="520">
        <f aca="true" t="shared" si="36" ref="J224:J246">E221*$J$218</f>
        <v>17.98145291532316</v>
      </c>
      <c r="K224" s="520">
        <f>E220*$K$218</f>
        <v>3.4068482592102516</v>
      </c>
      <c r="L224" s="520">
        <v>0</v>
      </c>
      <c r="M224" s="523">
        <f t="shared" si="30"/>
        <v>471.407843473312</v>
      </c>
      <c r="N224" s="523"/>
      <c r="O224" s="525">
        <f t="shared" si="31"/>
        <v>0.6290778117587312</v>
      </c>
      <c r="P224" s="521">
        <f t="shared" si="32"/>
        <v>472.0369212850708</v>
      </c>
    </row>
    <row r="225" spans="4:16" ht="14.25">
      <c r="D225" s="517">
        <f>$D$77</f>
        <v>5</v>
      </c>
      <c r="E225" s="518">
        <f>$I$77</f>
        <v>0.5242882336434767</v>
      </c>
      <c r="F225" s="518"/>
      <c r="G225" s="520">
        <f t="shared" si="33"/>
        <v>167.8529746670526</v>
      </c>
      <c r="H225" s="520">
        <f t="shared" si="34"/>
        <v>72.2639058419523</v>
      </c>
      <c r="I225" s="520">
        <f t="shared" si="35"/>
        <v>80.51368967695686</v>
      </c>
      <c r="J225" s="520">
        <f t="shared" si="36"/>
        <v>47.582121528510065</v>
      </c>
      <c r="K225" s="520">
        <f aca="true" t="shared" si="37" ref="K225:K246">E221*$K$218</f>
        <v>17.98145291532316</v>
      </c>
      <c r="L225" s="520">
        <f>E220*$L$218</f>
        <v>2.4334630422930403</v>
      </c>
      <c r="M225" s="523">
        <f t="shared" si="30"/>
        <v>388.62760767208806</v>
      </c>
      <c r="N225" s="523"/>
      <c r="O225" s="525">
        <f t="shared" si="31"/>
        <v>0.6290778117587312</v>
      </c>
      <c r="P225" s="521">
        <f t="shared" si="32"/>
        <v>389.2566854838468</v>
      </c>
    </row>
    <row r="226" spans="4:16" ht="14.25">
      <c r="D226" s="500">
        <f>$D$78</f>
        <v>5.71554605</v>
      </c>
      <c r="E226" s="518">
        <f>$I$78</f>
        <v>0.3774466870552386</v>
      </c>
      <c r="F226" s="518"/>
      <c r="G226" s="520">
        <f t="shared" si="33"/>
        <v>120.84106629699524</v>
      </c>
      <c r="H226" s="520">
        <f t="shared" si="34"/>
        <v>45.65339311789034</v>
      </c>
      <c r="I226" s="520">
        <f t="shared" si="35"/>
        <v>53.10725416953714</v>
      </c>
      <c r="J226" s="520">
        <f t="shared" si="36"/>
        <v>51.23598433988156</v>
      </c>
      <c r="K226" s="520">
        <f t="shared" si="37"/>
        <v>47.582121528510065</v>
      </c>
      <c r="L226" s="520">
        <f aca="true" t="shared" si="38" ref="L226:L246">E221*$L$218</f>
        <v>12.843894939516563</v>
      </c>
      <c r="M226" s="523">
        <f t="shared" si="30"/>
        <v>331.26371439233094</v>
      </c>
      <c r="N226" s="523"/>
      <c r="O226" s="525">
        <f t="shared" si="31"/>
        <v>0.6290778117587312</v>
      </c>
      <c r="P226" s="521">
        <f t="shared" si="32"/>
        <v>331.8927922040897</v>
      </c>
    </row>
    <row r="227" spans="4:16" ht="14.25">
      <c r="D227" s="517">
        <f>$D$79</f>
        <v>6</v>
      </c>
      <c r="E227" s="518">
        <f>$L$79</f>
        <v>0.3459656917135998</v>
      </c>
      <c r="F227" s="518"/>
      <c r="G227" s="520">
        <f t="shared" si="33"/>
        <v>110.76229974362069</v>
      </c>
      <c r="H227" s="520">
        <f t="shared" si="34"/>
        <v>32.86688672264949</v>
      </c>
      <c r="I227" s="520">
        <f t="shared" si="35"/>
        <v>33.55100065191963</v>
      </c>
      <c r="J227" s="520">
        <f t="shared" si="36"/>
        <v>33.7955253806145</v>
      </c>
      <c r="K227" s="520">
        <f t="shared" si="37"/>
        <v>51.23598433988156</v>
      </c>
      <c r="L227" s="520">
        <f t="shared" si="38"/>
        <v>33.98722966322153</v>
      </c>
      <c r="M227" s="523">
        <f t="shared" si="30"/>
        <v>296.19892650190735</v>
      </c>
      <c r="N227" s="523"/>
      <c r="O227" s="525">
        <f t="shared" si="31"/>
        <v>0.6290778117587312</v>
      </c>
      <c r="P227" s="521">
        <f t="shared" si="32"/>
        <v>296.8280043136661</v>
      </c>
    </row>
    <row r="228" spans="4:16" ht="14.25">
      <c r="D228" s="517">
        <f>$D$80</f>
        <v>7</v>
      </c>
      <c r="E228" s="518">
        <f>$L$80</f>
        <v>0.25472258495692024</v>
      </c>
      <c r="F228" s="518"/>
      <c r="G228" s="520">
        <f t="shared" si="33"/>
        <v>81.55045422776878</v>
      </c>
      <c r="H228" s="520">
        <f t="shared" si="34"/>
        <v>30.125619297884747</v>
      </c>
      <c r="I228" s="520">
        <f t="shared" si="35"/>
        <v>24.154106903087047</v>
      </c>
      <c r="J228" s="520">
        <f t="shared" si="36"/>
        <v>21.35063677849428</v>
      </c>
      <c r="K228" s="520">
        <f t="shared" si="37"/>
        <v>33.7955253806145</v>
      </c>
      <c r="L228" s="520">
        <f t="shared" si="38"/>
        <v>36.59713167134403</v>
      </c>
      <c r="M228" s="523">
        <f t="shared" si="30"/>
        <v>227.57347425919335</v>
      </c>
      <c r="N228" s="523"/>
      <c r="O228" s="525">
        <f t="shared" si="31"/>
        <v>0.6290778117587312</v>
      </c>
      <c r="P228" s="521">
        <f t="shared" si="32"/>
        <v>228.20255207095207</v>
      </c>
    </row>
    <row r="229" spans="4:16" ht="14.25">
      <c r="D229" s="517">
        <f>$D$81</f>
        <v>8</v>
      </c>
      <c r="E229" s="518">
        <f>$L$81</f>
        <v>0.18754343809572857</v>
      </c>
      <c r="F229" s="518"/>
      <c r="G229" s="520">
        <f t="shared" si="33"/>
        <v>60.042781705951704</v>
      </c>
      <c r="H229" s="520">
        <f t="shared" si="34"/>
        <v>22.180452584696663</v>
      </c>
      <c r="I229" s="520">
        <f t="shared" si="35"/>
        <v>22.13953013509373</v>
      </c>
      <c r="J229" s="520">
        <f t="shared" si="36"/>
        <v>15.370795301964463</v>
      </c>
      <c r="K229" s="520">
        <f t="shared" si="37"/>
        <v>21.35063677849428</v>
      </c>
      <c r="L229" s="520">
        <f t="shared" si="38"/>
        <v>24.13966098615325</v>
      </c>
      <c r="M229" s="523">
        <f t="shared" si="30"/>
        <v>165.22385749235409</v>
      </c>
      <c r="N229" s="523"/>
      <c r="O229" s="525">
        <f t="shared" si="31"/>
        <v>0.6290778117587312</v>
      </c>
      <c r="P229" s="521">
        <f t="shared" si="32"/>
        <v>165.8529353041128</v>
      </c>
    </row>
    <row r="230" spans="4:16" ht="14.25">
      <c r="D230" s="517">
        <f>$D$82</f>
        <v>9</v>
      </c>
      <c r="E230" s="518">
        <f>$L$82</f>
        <v>0.13808175344449689</v>
      </c>
      <c r="F230" s="518"/>
      <c r="G230" s="520">
        <f t="shared" si="33"/>
        <v>44.20742556405017</v>
      </c>
      <c r="H230" s="520">
        <f t="shared" si="34"/>
        <v>16.330700856215103</v>
      </c>
      <c r="I230" s="520">
        <f t="shared" si="35"/>
        <v>16.300571070530296</v>
      </c>
      <c r="J230" s="520">
        <f t="shared" si="36"/>
        <v>14.088791904150535</v>
      </c>
      <c r="K230" s="520">
        <f t="shared" si="37"/>
        <v>15.370795301964463</v>
      </c>
      <c r="L230" s="520">
        <f t="shared" si="38"/>
        <v>15.250454841781652</v>
      </c>
      <c r="M230" s="523">
        <f t="shared" si="30"/>
        <v>121.54873953869222</v>
      </c>
      <c r="N230" s="523"/>
      <c r="O230" s="525">
        <f t="shared" si="31"/>
        <v>0.6290778117587312</v>
      </c>
      <c r="P230" s="521">
        <f t="shared" si="32"/>
        <v>122.17781735045095</v>
      </c>
    </row>
    <row r="231" spans="4:16" ht="14.25">
      <c r="D231" s="500">
        <f>$D$83</f>
        <v>9.64798289</v>
      </c>
      <c r="E231" s="518">
        <f>$L$83</f>
        <v>0.11323400611657154</v>
      </c>
      <c r="F231" s="518"/>
      <c r="G231" s="520">
        <f t="shared" si="33"/>
        <v>36.25231988909856</v>
      </c>
      <c r="H231" s="520">
        <f t="shared" si="34"/>
        <v>12.023730779920507</v>
      </c>
      <c r="I231" s="520">
        <f t="shared" si="35"/>
        <v>12.00154725976908</v>
      </c>
      <c r="J231" s="520">
        <f t="shared" si="36"/>
        <v>10.373090681246538</v>
      </c>
      <c r="K231" s="520">
        <f t="shared" si="37"/>
        <v>14.088791904150535</v>
      </c>
      <c r="L231" s="520">
        <f t="shared" si="38"/>
        <v>10.979139501403205</v>
      </c>
      <c r="M231" s="523">
        <f t="shared" si="30"/>
        <v>95.71862001558843</v>
      </c>
      <c r="N231" s="523"/>
      <c r="O231" s="525">
        <f t="shared" si="31"/>
        <v>0.6290778117587312</v>
      </c>
      <c r="P231" s="521">
        <f t="shared" si="32"/>
        <v>96.34769782734716</v>
      </c>
    </row>
    <row r="232" spans="4:16" ht="14.25">
      <c r="D232" s="517">
        <f>$D$84</f>
        <v>10</v>
      </c>
      <c r="E232" s="518">
        <f>$O$84</f>
        <v>0.10444129620055444</v>
      </c>
      <c r="F232" s="518"/>
      <c r="G232" s="520">
        <f t="shared" si="33"/>
        <v>33.43729864681071</v>
      </c>
      <c r="H232" s="520">
        <f t="shared" si="34"/>
        <v>9.860066016794844</v>
      </c>
      <c r="I232" s="520">
        <f t="shared" si="35"/>
        <v>8.836324568338256</v>
      </c>
      <c r="J232" s="520">
        <f t="shared" si="36"/>
        <v>7.637348256216676</v>
      </c>
      <c r="K232" s="520">
        <f t="shared" si="37"/>
        <v>10.373090681246538</v>
      </c>
      <c r="L232" s="520">
        <f t="shared" si="38"/>
        <v>10.063422788678968</v>
      </c>
      <c r="M232" s="523">
        <f t="shared" si="30"/>
        <v>80.20755095808599</v>
      </c>
      <c r="N232" s="523"/>
      <c r="O232" s="525">
        <f t="shared" si="31"/>
        <v>0.6290778117587312</v>
      </c>
      <c r="P232" s="521">
        <f t="shared" si="32"/>
        <v>80.83662876984472</v>
      </c>
    </row>
    <row r="233" spans="4:16" ht="14.25">
      <c r="D233" s="517">
        <f>$D$85</f>
        <v>11</v>
      </c>
      <c r="E233" s="518">
        <f>$O$85</f>
        <v>0.08301337446144315</v>
      </c>
      <c r="F233" s="518"/>
      <c r="G233" s="520">
        <f t="shared" si="33"/>
        <v>26.577063810244713</v>
      </c>
      <c r="H233" s="520">
        <f t="shared" si="34"/>
        <v>9.09442411104788</v>
      </c>
      <c r="I233" s="520">
        <f t="shared" si="35"/>
        <v>7.246232070926112</v>
      </c>
      <c r="J233" s="520">
        <f t="shared" si="36"/>
        <v>5.623115634397064</v>
      </c>
      <c r="K233" s="520">
        <f t="shared" si="37"/>
        <v>7.637348256216676</v>
      </c>
      <c r="L233" s="520">
        <f t="shared" si="38"/>
        <v>7.409350486604681</v>
      </c>
      <c r="M233" s="523">
        <f t="shared" si="30"/>
        <v>63.58753436943713</v>
      </c>
      <c r="N233" s="523"/>
      <c r="O233" s="525">
        <f t="shared" si="31"/>
        <v>0.6290778117587312</v>
      </c>
      <c r="P233" s="521">
        <f t="shared" si="32"/>
        <v>64.21661218119586</v>
      </c>
    </row>
    <row r="234" spans="4:16" ht="14.25">
      <c r="D234" s="517">
        <f>$D$86</f>
        <v>12</v>
      </c>
      <c r="E234" s="518">
        <f>$O$86</f>
        <v>0.06598175808008781</v>
      </c>
      <c r="F234" s="518"/>
      <c r="G234" s="520">
        <f t="shared" si="33"/>
        <v>21.12432371510341</v>
      </c>
      <c r="H234" s="520">
        <f t="shared" si="34"/>
        <v>7.228547152381925</v>
      </c>
      <c r="I234" s="520">
        <f t="shared" si="35"/>
        <v>6.683556433377784</v>
      </c>
      <c r="J234" s="520">
        <f t="shared" si="36"/>
        <v>4.611238590589338</v>
      </c>
      <c r="K234" s="520">
        <f t="shared" si="37"/>
        <v>5.623115634397064</v>
      </c>
      <c r="L234" s="520">
        <f t="shared" si="38"/>
        <v>5.455248754440491</v>
      </c>
      <c r="M234" s="523">
        <f t="shared" si="30"/>
        <v>50.72603028029001</v>
      </c>
      <c r="N234" s="523"/>
      <c r="O234" s="525">
        <f t="shared" si="31"/>
        <v>0.6290778117587312</v>
      </c>
      <c r="P234" s="521">
        <f t="shared" si="32"/>
        <v>51.355108092048745</v>
      </c>
    </row>
    <row r="235" spans="4:16" ht="14.25">
      <c r="D235" s="517">
        <f>$D$87</f>
        <v>13</v>
      </c>
      <c r="E235" s="518">
        <f>$O$87</f>
        <v>0.05244446967230958</v>
      </c>
      <c r="F235" s="518"/>
      <c r="G235" s="520">
        <f t="shared" si="33"/>
        <v>16.790306694769967</v>
      </c>
      <c r="H235" s="520">
        <f t="shared" si="34"/>
        <v>5.745486827553308</v>
      </c>
      <c r="I235" s="520">
        <f t="shared" si="35"/>
        <v>5.312310294127047</v>
      </c>
      <c r="J235" s="520">
        <f t="shared" si="36"/>
        <v>4.2531722757858565</v>
      </c>
      <c r="K235" s="520">
        <f t="shared" si="37"/>
        <v>4.611238590589338</v>
      </c>
      <c r="L235" s="520">
        <f t="shared" si="38"/>
        <v>4.01651116742648</v>
      </c>
      <c r="M235" s="523">
        <f t="shared" si="30"/>
        <v>40.72902585025199</v>
      </c>
      <c r="N235" s="523"/>
      <c r="O235" s="525">
        <f t="shared" si="31"/>
        <v>0.6290778117587312</v>
      </c>
      <c r="P235" s="521">
        <f t="shared" si="32"/>
        <v>41.35810366201073</v>
      </c>
    </row>
    <row r="236" spans="4:16" ht="14.25">
      <c r="D236" s="517">
        <f>$D$88</f>
        <v>14</v>
      </c>
      <c r="E236" s="518">
        <f>$O$88</f>
        <v>0.04168458797159317</v>
      </c>
      <c r="F236" s="518"/>
      <c r="G236" s="520">
        <f t="shared" si="33"/>
        <v>13.345487538750167</v>
      </c>
      <c r="H236" s="520">
        <f t="shared" si="34"/>
        <v>4.566701743753727</v>
      </c>
      <c r="I236" s="520">
        <f t="shared" si="35"/>
        <v>4.222398799560345</v>
      </c>
      <c r="J236" s="520">
        <f t="shared" si="36"/>
        <v>3.3805610962626615</v>
      </c>
      <c r="K236" s="520">
        <f t="shared" si="37"/>
        <v>4.2531722757858565</v>
      </c>
      <c r="L236" s="520">
        <f t="shared" si="38"/>
        <v>3.29374185042096</v>
      </c>
      <c r="M236" s="523">
        <f t="shared" si="30"/>
        <v>33.062063304533716</v>
      </c>
      <c r="N236" s="523"/>
      <c r="O236" s="525">
        <f t="shared" si="31"/>
        <v>0.6290778117587312</v>
      </c>
      <c r="P236" s="521">
        <f t="shared" si="32"/>
        <v>33.69114111629245</v>
      </c>
    </row>
    <row r="237" spans="4:16" ht="14.25">
      <c r="D237" s="517">
        <f>$D$89</f>
        <v>15</v>
      </c>
      <c r="E237" s="518">
        <f>$O$89</f>
        <v>0.03313228039521844</v>
      </c>
      <c r="F237" s="518"/>
      <c r="G237" s="520">
        <f t="shared" si="33"/>
        <v>10.607432066884952</v>
      </c>
      <c r="H237" s="520">
        <f t="shared" si="34"/>
        <v>3.6297646208831797</v>
      </c>
      <c r="I237" s="520">
        <f t="shared" si="35"/>
        <v>3.3561013260537265</v>
      </c>
      <c r="J237" s="520">
        <f t="shared" si="36"/>
        <v>2.68698105426567</v>
      </c>
      <c r="K237" s="520">
        <f t="shared" si="37"/>
        <v>3.3805610962626615</v>
      </c>
      <c r="L237" s="520">
        <f t="shared" si="38"/>
        <v>3.037980196989902</v>
      </c>
      <c r="M237" s="523">
        <f t="shared" si="30"/>
        <v>26.69882036134009</v>
      </c>
      <c r="N237" s="523"/>
      <c r="O237" s="525">
        <f t="shared" si="31"/>
        <v>0.6290778117587312</v>
      </c>
      <c r="P237" s="521">
        <f t="shared" si="32"/>
        <v>27.32789817309882</v>
      </c>
    </row>
    <row r="238" spans="4:16" ht="14.25">
      <c r="D238" s="517">
        <f>$D$90</f>
        <v>16</v>
      </c>
      <c r="E238" s="518">
        <f>$O$90</f>
        <v>0.026334625280102514</v>
      </c>
      <c r="F238" s="518"/>
      <c r="G238" s="520">
        <f t="shared" si="33"/>
        <v>8.431135597472261</v>
      </c>
      <c r="H238" s="520">
        <f t="shared" si="34"/>
        <v>2.885056205178292</v>
      </c>
      <c r="I238" s="520">
        <f t="shared" si="35"/>
        <v>2.6675396250852423</v>
      </c>
      <c r="J238" s="520">
        <f t="shared" si="36"/>
        <v>2.1357008438523684</v>
      </c>
      <c r="K238" s="520">
        <f t="shared" si="37"/>
        <v>2.68698105426567</v>
      </c>
      <c r="L238" s="520">
        <f t="shared" si="38"/>
        <v>2.414686497330476</v>
      </c>
      <c r="M238" s="523">
        <f t="shared" si="30"/>
        <v>21.221099823184307</v>
      </c>
      <c r="N238" s="523"/>
      <c r="O238" s="525">
        <f t="shared" si="31"/>
        <v>0.6290778117587312</v>
      </c>
      <c r="P238" s="521">
        <f t="shared" si="32"/>
        <v>21.850177634943037</v>
      </c>
    </row>
    <row r="239" spans="4:16" ht="14.25">
      <c r="D239" s="517">
        <f>$D$91</f>
        <v>17</v>
      </c>
      <c r="E239" s="518">
        <f>$O$91</f>
        <v>0.020931625604119333</v>
      </c>
      <c r="F239" s="518"/>
      <c r="G239" s="520">
        <f t="shared" si="33"/>
        <v>6.701343644224633</v>
      </c>
      <c r="H239" s="520">
        <f t="shared" si="34"/>
        <v>2.293137483116606</v>
      </c>
      <c r="I239" s="520">
        <f t="shared" si="35"/>
        <v>2.1202481570385117</v>
      </c>
      <c r="J239" s="520">
        <f t="shared" si="36"/>
        <v>1.6975252159633334</v>
      </c>
      <c r="K239" s="520">
        <f t="shared" si="37"/>
        <v>2.1357008438523684</v>
      </c>
      <c r="L239" s="520">
        <f t="shared" si="38"/>
        <v>1.919272181618339</v>
      </c>
      <c r="M239" s="523">
        <f t="shared" si="30"/>
        <v>16.867227525813792</v>
      </c>
      <c r="N239" s="523"/>
      <c r="O239" s="525">
        <f t="shared" si="31"/>
        <v>0.6290778117587312</v>
      </c>
      <c r="P239" s="521">
        <f t="shared" si="32"/>
        <v>17.496305337572522</v>
      </c>
    </row>
    <row r="240" spans="4:16" ht="14.25">
      <c r="D240" s="517">
        <f>$D$92</f>
        <v>18</v>
      </c>
      <c r="E240" s="518">
        <f>$O$92</f>
        <v>0.01663714390354593</v>
      </c>
      <c r="F240" s="518"/>
      <c r="G240" s="520">
        <f t="shared" si="33"/>
        <v>5.3264481538470045</v>
      </c>
      <c r="H240" s="520">
        <f t="shared" si="34"/>
        <v>1.8226610306711173</v>
      </c>
      <c r="I240" s="520">
        <f t="shared" si="35"/>
        <v>1.6852429126639663</v>
      </c>
      <c r="J240" s="520">
        <f t="shared" si="36"/>
        <v>1.3492488272063234</v>
      </c>
      <c r="K240" s="520">
        <f t="shared" si="37"/>
        <v>1.6975252159633334</v>
      </c>
      <c r="L240" s="520">
        <f t="shared" si="38"/>
        <v>1.525500602751694</v>
      </c>
      <c r="M240" s="523">
        <f t="shared" si="30"/>
        <v>13.406626743103438</v>
      </c>
      <c r="N240" s="523"/>
      <c r="O240" s="525">
        <f t="shared" si="31"/>
        <v>0.6290778117587312</v>
      </c>
      <c r="P240" s="521">
        <f t="shared" si="32"/>
        <v>14.03570455486217</v>
      </c>
    </row>
    <row r="241" spans="4:16" ht="14.25">
      <c r="D241" s="517">
        <f>$D$93</f>
        <v>19</v>
      </c>
      <c r="E241" s="518">
        <f>$O$93</f>
        <v>0.013223748718915672</v>
      </c>
      <c r="F241" s="518"/>
      <c r="G241" s="520">
        <f t="shared" si="33"/>
        <v>4.233636035076484</v>
      </c>
      <c r="H241" s="520">
        <f t="shared" si="34"/>
        <v>1.4487108850586836</v>
      </c>
      <c r="I241" s="520">
        <f t="shared" si="35"/>
        <v>1.3394864489121905</v>
      </c>
      <c r="J241" s="520">
        <f t="shared" si="36"/>
        <v>1.072427308058886</v>
      </c>
      <c r="K241" s="520">
        <f t="shared" si="37"/>
        <v>1.3492488272063234</v>
      </c>
      <c r="L241" s="520">
        <f t="shared" si="38"/>
        <v>1.212518011402383</v>
      </c>
      <c r="M241" s="523">
        <f t="shared" si="30"/>
        <v>10.65602751571495</v>
      </c>
      <c r="N241" s="523"/>
      <c r="O241" s="525">
        <f t="shared" si="31"/>
        <v>0.6290778117587312</v>
      </c>
      <c r="P241" s="521">
        <f t="shared" si="32"/>
        <v>11.285105327473682</v>
      </c>
    </row>
    <row r="242" spans="4:16" ht="14.25">
      <c r="D242" s="517">
        <f>$D$94</f>
        <v>20</v>
      </c>
      <c r="E242" s="518">
        <f>$O$94</f>
        <v>0.010510670052192892</v>
      </c>
      <c r="F242" s="518"/>
      <c r="G242" s="520">
        <f t="shared" si="33"/>
        <v>3.365033050129816</v>
      </c>
      <c r="H242" s="520">
        <f t="shared" si="34"/>
        <v>1.1514830202490993</v>
      </c>
      <c r="I242" s="520">
        <f t="shared" si="35"/>
        <v>1.0646678489708947</v>
      </c>
      <c r="J242" s="520">
        <f t="shared" si="36"/>
        <v>0.8524004674895745</v>
      </c>
      <c r="K242" s="520">
        <f t="shared" si="37"/>
        <v>1.072427308058886</v>
      </c>
      <c r="L242" s="520">
        <f t="shared" si="38"/>
        <v>0.9637491622902326</v>
      </c>
      <c r="M242" s="523">
        <f t="shared" si="30"/>
        <v>8.469760857188502</v>
      </c>
      <c r="N242" s="523"/>
      <c r="O242" s="525">
        <f t="shared" si="31"/>
        <v>0.6290778117587312</v>
      </c>
      <c r="P242" s="521">
        <f t="shared" si="32"/>
        <v>9.098838668947234</v>
      </c>
    </row>
    <row r="243" spans="4:16" ht="14.25">
      <c r="D243" s="517">
        <f>$D$95</f>
        <v>21</v>
      </c>
      <c r="E243" s="518">
        <f>$O$95</f>
        <v>0.008354225968317048</v>
      </c>
      <c r="F243" s="518"/>
      <c r="G243" s="520">
        <f t="shared" si="33"/>
        <v>2.6746388529030494</v>
      </c>
      <c r="H243" s="520">
        <f t="shared" si="34"/>
        <v>0.9152365455363285</v>
      </c>
      <c r="I243" s="520">
        <f t="shared" si="35"/>
        <v>0.8462329944083066</v>
      </c>
      <c r="J243" s="520">
        <f t="shared" si="36"/>
        <v>0.6775159038905684</v>
      </c>
      <c r="K243" s="520">
        <f t="shared" si="37"/>
        <v>0.8524004674895745</v>
      </c>
      <c r="L243" s="520">
        <f t="shared" si="38"/>
        <v>0.7660195057563484</v>
      </c>
      <c r="M243" s="523">
        <f t="shared" si="30"/>
        <v>6.732044269984176</v>
      </c>
      <c r="N243" s="523"/>
      <c r="O243" s="525">
        <f t="shared" si="31"/>
        <v>0.6290778117587312</v>
      </c>
      <c r="P243" s="521">
        <f t="shared" si="32"/>
        <v>7.361122081742907</v>
      </c>
    </row>
    <row r="244" spans="4:16" ht="14.25">
      <c r="D244" s="517">
        <f>$D$96</f>
        <v>22</v>
      </c>
      <c r="E244" s="518">
        <f>$O$96</f>
        <v>0.00664021334350055</v>
      </c>
      <c r="F244" s="518"/>
      <c r="G244" s="520">
        <f t="shared" si="33"/>
        <v>2.125890856609138</v>
      </c>
      <c r="H244" s="520">
        <f t="shared" si="34"/>
        <v>0.7274600836962951</v>
      </c>
      <c r="I244" s="520">
        <f t="shared" si="35"/>
        <v>0.6726137936046804</v>
      </c>
      <c r="J244" s="520">
        <f t="shared" si="36"/>
        <v>0.5385119055325579</v>
      </c>
      <c r="K244" s="520">
        <f t="shared" si="37"/>
        <v>0.6775159038905684</v>
      </c>
      <c r="L244" s="520">
        <f t="shared" si="38"/>
        <v>0.6088574767782684</v>
      </c>
      <c r="M244" s="523">
        <f t="shared" si="30"/>
        <v>5.350850020111508</v>
      </c>
      <c r="N244" s="523"/>
      <c r="O244" s="525">
        <f t="shared" si="31"/>
        <v>0.6290778117587312</v>
      </c>
      <c r="P244" s="521">
        <f t="shared" si="32"/>
        <v>5.979927831870239</v>
      </c>
    </row>
    <row r="245" spans="4:16" ht="14.25">
      <c r="D245" s="517">
        <f>$D$97</f>
        <v>23</v>
      </c>
      <c r="E245" s="518">
        <f>$O$97</f>
        <v>0.005277859781914084</v>
      </c>
      <c r="F245" s="518"/>
      <c r="G245" s="520">
        <f t="shared" si="33"/>
        <v>1.689727915718032</v>
      </c>
      <c r="H245" s="520">
        <f t="shared" si="34"/>
        <v>0.5782091809514777</v>
      </c>
      <c r="I245" s="520">
        <f t="shared" si="35"/>
        <v>0.5346155471798975</v>
      </c>
      <c r="J245" s="520">
        <f t="shared" si="36"/>
        <v>0.4280269595666142</v>
      </c>
      <c r="K245" s="520">
        <f t="shared" si="37"/>
        <v>0.5385119055325579</v>
      </c>
      <c r="L245" s="520">
        <f t="shared" si="38"/>
        <v>0.48393993135040675</v>
      </c>
      <c r="M245" s="523">
        <f t="shared" si="30"/>
        <v>4.253031440298986</v>
      </c>
      <c r="N245" s="523"/>
      <c r="O245" s="525">
        <f t="shared" si="31"/>
        <v>0.6290778117587312</v>
      </c>
      <c r="P245" s="521">
        <f t="shared" si="32"/>
        <v>4.882109252057717</v>
      </c>
    </row>
    <row r="246" spans="4:16" ht="14.25">
      <c r="D246" s="517">
        <f>$D$98</f>
        <v>24</v>
      </c>
      <c r="E246" s="518">
        <f>$O$98</f>
        <v>0.004195016400310614</v>
      </c>
      <c r="F246" s="518"/>
      <c r="G246" s="520">
        <f>E246*$G$218</f>
        <v>1.3430512767296563</v>
      </c>
      <c r="H246" s="520">
        <f t="shared" si="34"/>
        <v>0.45957965863616446</v>
      </c>
      <c r="I246" s="520">
        <f t="shared" si="35"/>
        <v>0.4249300059023828</v>
      </c>
      <c r="J246" s="520">
        <f t="shared" si="36"/>
        <v>0.3402098936599342</v>
      </c>
      <c r="K246" s="520">
        <f t="shared" si="37"/>
        <v>0.4280269595666142</v>
      </c>
      <c r="L246" s="520">
        <f t="shared" si="38"/>
        <v>0.38465136109468484</v>
      </c>
      <c r="M246" s="523">
        <f t="shared" si="30"/>
        <v>3.3804491555894365</v>
      </c>
      <c r="N246" s="523"/>
      <c r="O246" s="525">
        <f t="shared" si="31"/>
        <v>0.6290778117587312</v>
      </c>
      <c r="P246" s="521">
        <f t="shared" si="32"/>
        <v>4.009526967348168</v>
      </c>
    </row>
    <row r="247" spans="15:16" ht="14.25">
      <c r="O247" s="510"/>
      <c r="P247" s="443"/>
    </row>
    <row r="248" ht="14.25">
      <c r="O248" s="510"/>
    </row>
    <row r="249" spans="2:16" ht="14.25">
      <c r="B249" s="412">
        <f>Rekap!B175</f>
        <v>100</v>
      </c>
      <c r="D249" s="512" t="s">
        <v>366</v>
      </c>
      <c r="E249" s="512" t="s">
        <v>278</v>
      </c>
      <c r="F249" s="512"/>
      <c r="G249" s="513" t="s">
        <v>381</v>
      </c>
      <c r="H249" s="513"/>
      <c r="I249" s="513"/>
      <c r="J249" s="513"/>
      <c r="K249" s="513"/>
      <c r="L249" s="513"/>
      <c r="M249" s="514" t="s">
        <v>382</v>
      </c>
      <c r="N249" s="514"/>
      <c r="O249" s="522" t="s">
        <v>383</v>
      </c>
      <c r="P249" s="515" t="s">
        <v>384</v>
      </c>
    </row>
    <row r="250" spans="2:16" ht="14.25">
      <c r="B250" s="412"/>
      <c r="D250" s="512"/>
      <c r="E250" s="512"/>
      <c r="F250" s="512"/>
      <c r="G250" s="516">
        <v>1</v>
      </c>
      <c r="H250" s="516">
        <v>2</v>
      </c>
      <c r="I250" s="516">
        <v>3</v>
      </c>
      <c r="J250" s="516">
        <v>4</v>
      </c>
      <c r="K250" s="516">
        <v>5</v>
      </c>
      <c r="L250" s="516">
        <v>6</v>
      </c>
      <c r="M250" s="514"/>
      <c r="N250" s="514"/>
      <c r="O250" s="522"/>
      <c r="P250" s="515"/>
    </row>
    <row r="251" spans="4:16" ht="14.25">
      <c r="D251" s="512"/>
      <c r="E251" s="512"/>
      <c r="F251" s="512"/>
      <c r="G251" s="516">
        <f>Rekap!D175</f>
        <v>333.4197489374315</v>
      </c>
      <c r="H251" s="516">
        <f>Rekap!E175</f>
        <v>90.68497535835864</v>
      </c>
      <c r="I251" s="516">
        <f>Rekap!F175</f>
        <v>66.64502810362424</v>
      </c>
      <c r="J251" s="516">
        <f>Rekap!G175</f>
        <v>42.41047242957899</v>
      </c>
      <c r="K251" s="516">
        <f>Rekap!H175</f>
        <v>42.41047242957899</v>
      </c>
      <c r="L251" s="516">
        <f>Rekap!I175</f>
        <v>30.29319459255647</v>
      </c>
      <c r="M251" s="514"/>
      <c r="N251" s="514"/>
      <c r="O251" s="522"/>
      <c r="P251" s="515"/>
    </row>
    <row r="252" spans="4:16" ht="14.25">
      <c r="D252" s="517">
        <f>$D$71</f>
        <v>0</v>
      </c>
      <c r="E252" s="518">
        <f>$F$71</f>
        <v>0</v>
      </c>
      <c r="F252" s="518"/>
      <c r="G252" s="520">
        <f>E252*G251</f>
        <v>0</v>
      </c>
      <c r="H252" s="520"/>
      <c r="I252" s="520"/>
      <c r="J252" s="520"/>
      <c r="K252" s="520"/>
      <c r="L252" s="520"/>
      <c r="M252" s="523">
        <f>SUM(G252:L252)</f>
        <v>0</v>
      </c>
      <c r="N252" s="523"/>
      <c r="O252" s="525">
        <f>$E$38</f>
        <v>0.6290778117587312</v>
      </c>
      <c r="P252" s="521">
        <f>M252+O252</f>
        <v>0.6290778117587312</v>
      </c>
    </row>
    <row r="253" spans="4:16" ht="14.25">
      <c r="D253" s="517">
        <f>$D$72</f>
        <v>1</v>
      </c>
      <c r="E253" s="518">
        <f>$F$72</f>
        <v>0.08365888449340493</v>
      </c>
      <c r="F253" s="518"/>
      <c r="G253" s="520">
        <f>E253*$G$251</f>
        <v>27.893524264176655</v>
      </c>
      <c r="H253" s="520">
        <v>0</v>
      </c>
      <c r="I253" s="520"/>
      <c r="J253" s="520"/>
      <c r="K253" s="520"/>
      <c r="L253" s="520"/>
      <c r="M253" s="523">
        <f aca="true" t="shared" si="39" ref="M253:M279">SUM(G253:L253)</f>
        <v>27.893524264176655</v>
      </c>
      <c r="N253" s="523"/>
      <c r="O253" s="525">
        <f aca="true" t="shared" si="40" ref="O253:O279">$E$38</f>
        <v>0.6290778117587312</v>
      </c>
      <c r="P253" s="521">
        <f aca="true" t="shared" si="41" ref="P253:P279">M253+O253</f>
        <v>28.522602075935385</v>
      </c>
    </row>
    <row r="254" spans="4:16" ht="14.25">
      <c r="D254" s="517">
        <f>$D$73</f>
        <v>2</v>
      </c>
      <c r="E254" s="518">
        <f>$F$73</f>
        <v>0.4415542395819344</v>
      </c>
      <c r="F254" s="518"/>
      <c r="G254" s="520">
        <f aca="true" t="shared" si="42" ref="G254:G279">E254*$G$251</f>
        <v>147.22290370366704</v>
      </c>
      <c r="H254" s="520">
        <f>E253*$H$251</f>
        <v>7.586603878792198</v>
      </c>
      <c r="I254" s="520">
        <v>0</v>
      </c>
      <c r="J254" s="520"/>
      <c r="K254" s="520"/>
      <c r="L254" s="520"/>
      <c r="M254" s="523">
        <f t="shared" si="39"/>
        <v>154.80950758245925</v>
      </c>
      <c r="N254" s="523"/>
      <c r="O254" s="525">
        <f t="shared" si="40"/>
        <v>0.6290778117587312</v>
      </c>
      <c r="P254" s="521">
        <f t="shared" si="41"/>
        <v>155.43858539421797</v>
      </c>
    </row>
    <row r="255" spans="4:16" ht="14.25">
      <c r="D255" s="517">
        <f>$D$74</f>
        <v>3</v>
      </c>
      <c r="E255" s="518">
        <f>$F$74</f>
        <v>1.1684310265780802</v>
      </c>
      <c r="F255" s="518"/>
      <c r="G255" s="520">
        <f t="shared" si="42"/>
        <v>389.57797953236883</v>
      </c>
      <c r="H255" s="520">
        <f aca="true" t="shared" si="43" ref="H255:H279">E254*$H$251</f>
        <v>40.04233533586651</v>
      </c>
      <c r="I255" s="520">
        <f>E253*$I$251</f>
        <v>5.575448708180826</v>
      </c>
      <c r="J255" s="520">
        <v>0</v>
      </c>
      <c r="K255" s="520"/>
      <c r="L255" s="520"/>
      <c r="M255" s="523">
        <f t="shared" si="39"/>
        <v>435.1957635764162</v>
      </c>
      <c r="N255" s="523"/>
      <c r="O255" s="525">
        <f t="shared" si="40"/>
        <v>0.6290778117587312</v>
      </c>
      <c r="P255" s="521">
        <f t="shared" si="41"/>
        <v>435.82484138817495</v>
      </c>
    </row>
    <row r="256" spans="4:16" ht="14.25">
      <c r="D256" s="500">
        <f>$D$75</f>
        <v>3.09392149</v>
      </c>
      <c r="E256" s="518">
        <f>$F$75</f>
        <v>1.2581556235174625</v>
      </c>
      <c r="F256" s="518"/>
      <c r="G256" s="520">
        <f t="shared" si="42"/>
        <v>419.49393211740994</v>
      </c>
      <c r="H256" s="520">
        <f t="shared" si="43"/>
        <v>105.95913885317489</v>
      </c>
      <c r="I256" s="520">
        <f aca="true" t="shared" si="44" ref="I256:I279">E254*$I$251</f>
        <v>29.42739470621245</v>
      </c>
      <c r="J256" s="520">
        <f>E253*$J$251</f>
        <v>3.5480128142968828</v>
      </c>
      <c r="K256" s="520">
        <v>0</v>
      </c>
      <c r="L256" s="520"/>
      <c r="M256" s="523">
        <f t="shared" si="39"/>
        <v>558.4284784910941</v>
      </c>
      <c r="N256" s="523"/>
      <c r="O256" s="525">
        <f t="shared" si="40"/>
        <v>0.6290778117587312</v>
      </c>
      <c r="P256" s="521">
        <f t="shared" si="41"/>
        <v>559.0575563028528</v>
      </c>
    </row>
    <row r="257" spans="4:16" ht="14.25">
      <c r="D257" s="517">
        <f>$D$76</f>
        <v>4</v>
      </c>
      <c r="E257" s="518">
        <f>$I$76</f>
        <v>0.8298860821192442</v>
      </c>
      <c r="F257" s="518"/>
      <c r="G257" s="520">
        <f t="shared" si="42"/>
        <v>276.70040914686706</v>
      </c>
      <c r="H257" s="520">
        <f t="shared" si="43"/>
        <v>114.09581171566144</v>
      </c>
      <c r="I257" s="520">
        <f t="shared" si="44"/>
        <v>77.87011860344268</v>
      </c>
      <c r="J257" s="520">
        <f aca="true" t="shared" si="45" ref="J257:J279">E254*$J$251</f>
        <v>18.726523903953343</v>
      </c>
      <c r="K257" s="520">
        <f>E253*$K$251</f>
        <v>3.5480128142968828</v>
      </c>
      <c r="L257" s="520">
        <v>0</v>
      </c>
      <c r="M257" s="523">
        <f t="shared" si="39"/>
        <v>490.94087618422145</v>
      </c>
      <c r="N257" s="523"/>
      <c r="O257" s="525">
        <f t="shared" si="40"/>
        <v>0.6290778117587312</v>
      </c>
      <c r="P257" s="521">
        <f t="shared" si="41"/>
        <v>491.5699539959802</v>
      </c>
    </row>
    <row r="258" spans="4:16" ht="14.25">
      <c r="D258" s="517">
        <f>$D$77</f>
        <v>5</v>
      </c>
      <c r="E258" s="518">
        <f>$I$77</f>
        <v>0.5242882336434767</v>
      </c>
      <c r="F258" s="518"/>
      <c r="G258" s="520">
        <f t="shared" si="42"/>
        <v>174.8080512322574</v>
      </c>
      <c r="H258" s="520">
        <f t="shared" si="43"/>
        <v>75.25819890722846</v>
      </c>
      <c r="I258" s="520">
        <f t="shared" si="44"/>
        <v>83.84981688805416</v>
      </c>
      <c r="J258" s="520">
        <f t="shared" si="45"/>
        <v>49.55371183855434</v>
      </c>
      <c r="K258" s="520">
        <f aca="true" t="shared" si="46" ref="K258:K279">E254*$K$251</f>
        <v>18.726523903953343</v>
      </c>
      <c r="L258" s="520">
        <f>E253*$L$251</f>
        <v>2.534294867354921</v>
      </c>
      <c r="M258" s="523">
        <f t="shared" si="39"/>
        <v>404.7305976374027</v>
      </c>
      <c r="N258" s="523"/>
      <c r="O258" s="525">
        <f t="shared" si="40"/>
        <v>0.6290778117587312</v>
      </c>
      <c r="P258" s="521">
        <f t="shared" si="41"/>
        <v>405.35967544916144</v>
      </c>
    </row>
    <row r="259" spans="4:16" ht="14.25">
      <c r="D259" s="500">
        <f>$D$78</f>
        <v>5.71554605</v>
      </c>
      <c r="E259" s="518">
        <f>$I$78</f>
        <v>0.3774466870552386</v>
      </c>
      <c r="F259" s="518"/>
      <c r="G259" s="520">
        <f t="shared" si="42"/>
        <v>125.84817963522293</v>
      </c>
      <c r="H259" s="520">
        <f t="shared" si="43"/>
        <v>47.54506554863606</v>
      </c>
      <c r="I259" s="520">
        <f t="shared" si="44"/>
        <v>55.30778126564365</v>
      </c>
      <c r="J259" s="520">
        <f t="shared" si="45"/>
        <v>53.3589743833071</v>
      </c>
      <c r="K259" s="520">
        <f t="shared" si="46"/>
        <v>49.55371183855434</v>
      </c>
      <c r="L259" s="520">
        <f aca="true" t="shared" si="47" ref="L259:L279">E254*$L$251</f>
        <v>13.37608850282384</v>
      </c>
      <c r="M259" s="523">
        <f t="shared" si="39"/>
        <v>344.98980117418796</v>
      </c>
      <c r="N259" s="523"/>
      <c r="O259" s="525">
        <f t="shared" si="40"/>
        <v>0.6290778117587312</v>
      </c>
      <c r="P259" s="521">
        <f t="shared" si="41"/>
        <v>345.6188789859467</v>
      </c>
    </row>
    <row r="260" spans="4:16" ht="14.25">
      <c r="D260" s="517">
        <f>$D$79</f>
        <v>6</v>
      </c>
      <c r="E260" s="518">
        <f>$L$79</f>
        <v>0.3459656917135998</v>
      </c>
      <c r="F260" s="518"/>
      <c r="G260" s="520">
        <f t="shared" si="42"/>
        <v>115.35179407211328</v>
      </c>
      <c r="H260" s="520">
        <f t="shared" si="43"/>
        <v>34.228743514698415</v>
      </c>
      <c r="I260" s="520">
        <f t="shared" si="44"/>
        <v>34.94120406556901</v>
      </c>
      <c r="J260" s="520">
        <f t="shared" si="45"/>
        <v>35.19586080540953</v>
      </c>
      <c r="K260" s="520">
        <f t="shared" si="46"/>
        <v>53.3589743833071</v>
      </c>
      <c r="L260" s="520">
        <f t="shared" si="47"/>
        <v>35.395508456110306</v>
      </c>
      <c r="M260" s="523">
        <f t="shared" si="39"/>
        <v>308.4720852972076</v>
      </c>
      <c r="N260" s="523"/>
      <c r="O260" s="525">
        <f t="shared" si="40"/>
        <v>0.6290778117587312</v>
      </c>
      <c r="P260" s="521">
        <f t="shared" si="41"/>
        <v>309.1011631089664</v>
      </c>
    </row>
    <row r="261" spans="4:16" ht="14.25">
      <c r="D261" s="517">
        <f>$D$80</f>
        <v>7</v>
      </c>
      <c r="E261" s="518">
        <f>$L$80</f>
        <v>0.25472258495692024</v>
      </c>
      <c r="F261" s="518"/>
      <c r="G261" s="520">
        <f t="shared" si="42"/>
        <v>84.92954032502992</v>
      </c>
      <c r="H261" s="520">
        <f t="shared" si="43"/>
        <v>31.3738902278853</v>
      </c>
      <c r="I261" s="520">
        <f t="shared" si="44"/>
        <v>25.15494506641624</v>
      </c>
      <c r="J261" s="520">
        <f t="shared" si="45"/>
        <v>22.23531167808933</v>
      </c>
      <c r="K261" s="520">
        <f t="shared" si="46"/>
        <v>35.19586080540953</v>
      </c>
      <c r="L261" s="520">
        <f t="shared" si="47"/>
        <v>38.11355313093371</v>
      </c>
      <c r="M261" s="523">
        <f t="shared" si="39"/>
        <v>237.00310123376403</v>
      </c>
      <c r="N261" s="523"/>
      <c r="O261" s="525">
        <f t="shared" si="40"/>
        <v>0.6290778117587312</v>
      </c>
      <c r="P261" s="521">
        <f t="shared" si="41"/>
        <v>237.63217904552275</v>
      </c>
    </row>
    <row r="262" spans="4:16" ht="14.25">
      <c r="D262" s="517">
        <f>$D$81</f>
        <v>8</v>
      </c>
      <c r="E262" s="518">
        <f>$L$81</f>
        <v>0.18754343809572857</v>
      </c>
      <c r="F262" s="518"/>
      <c r="G262" s="520">
        <f t="shared" si="42"/>
        <v>62.53068604474055</v>
      </c>
      <c r="H262" s="520">
        <f t="shared" si="43"/>
        <v>23.09951134003573</v>
      </c>
      <c r="I262" s="520">
        <f t="shared" si="44"/>
        <v>23.05689324714266</v>
      </c>
      <c r="J262" s="520">
        <f t="shared" si="45"/>
        <v>16.007692314992124</v>
      </c>
      <c r="K262" s="520">
        <f t="shared" si="46"/>
        <v>22.23531167808933</v>
      </c>
      <c r="L262" s="520">
        <f t="shared" si="47"/>
        <v>25.139900575292565</v>
      </c>
      <c r="M262" s="523">
        <f t="shared" si="39"/>
        <v>172.06999520029296</v>
      </c>
      <c r="N262" s="523"/>
      <c r="O262" s="525">
        <f t="shared" si="40"/>
        <v>0.6290778117587312</v>
      </c>
      <c r="P262" s="521">
        <f t="shared" si="41"/>
        <v>172.69907301205168</v>
      </c>
    </row>
    <row r="263" spans="4:16" ht="14.25">
      <c r="D263" s="517">
        <f>$D$82</f>
        <v>9</v>
      </c>
      <c r="E263" s="518">
        <f>$L$82</f>
        <v>0.13808175344449689</v>
      </c>
      <c r="F263" s="518"/>
      <c r="G263" s="520">
        <f t="shared" si="42"/>
        <v>46.03918356630447</v>
      </c>
      <c r="H263" s="520">
        <f t="shared" si="43"/>
        <v>17.007372062333005</v>
      </c>
      <c r="I263" s="520">
        <f t="shared" si="44"/>
        <v>16.975993833081763</v>
      </c>
      <c r="J263" s="520">
        <f t="shared" si="45"/>
        <v>14.67256842999985</v>
      </c>
      <c r="K263" s="520">
        <f t="shared" si="46"/>
        <v>16.007692314992124</v>
      </c>
      <c r="L263" s="520">
        <f t="shared" si="47"/>
        <v>15.88236548434955</v>
      </c>
      <c r="M263" s="523">
        <f t="shared" si="39"/>
        <v>126.58517569106077</v>
      </c>
      <c r="N263" s="523"/>
      <c r="O263" s="525">
        <f t="shared" si="40"/>
        <v>0.6290778117587312</v>
      </c>
      <c r="P263" s="521">
        <f t="shared" si="41"/>
        <v>127.2142535028195</v>
      </c>
    </row>
    <row r="264" spans="4:16" ht="14.25">
      <c r="D264" s="500">
        <f>$D$83</f>
        <v>9.64798289</v>
      </c>
      <c r="E264" s="518">
        <f>$L$83</f>
        <v>0.11323400611657154</v>
      </c>
      <c r="F264" s="518"/>
      <c r="G264" s="520">
        <f t="shared" si="42"/>
        <v>37.754453890566865</v>
      </c>
      <c r="H264" s="520">
        <f t="shared" si="43"/>
        <v>12.521940408553153</v>
      </c>
      <c r="I264" s="520">
        <f t="shared" si="44"/>
        <v>12.498837702540143</v>
      </c>
      <c r="J264" s="520">
        <f t="shared" si="45"/>
        <v>10.802905166506557</v>
      </c>
      <c r="K264" s="520">
        <f t="shared" si="46"/>
        <v>14.67256842999985</v>
      </c>
      <c r="L264" s="520">
        <f t="shared" si="47"/>
        <v>11.434065939280108</v>
      </c>
      <c r="M264" s="523">
        <f t="shared" si="39"/>
        <v>99.68477153744668</v>
      </c>
      <c r="N264" s="523"/>
      <c r="O264" s="525">
        <f t="shared" si="40"/>
        <v>0.6290778117587312</v>
      </c>
      <c r="P264" s="521">
        <f t="shared" si="41"/>
        <v>100.31384934920541</v>
      </c>
    </row>
    <row r="265" spans="4:16" ht="14.25">
      <c r="D265" s="517">
        <f>$D$84</f>
        <v>10</v>
      </c>
      <c r="E265" s="518">
        <f>$O$84</f>
        <v>0.10444129620055444</v>
      </c>
      <c r="F265" s="518"/>
      <c r="G265" s="520">
        <f t="shared" si="42"/>
        <v>34.82279075788878</v>
      </c>
      <c r="H265" s="520">
        <f t="shared" si="43"/>
        <v>10.268623054409522</v>
      </c>
      <c r="I265" s="520">
        <f t="shared" si="44"/>
        <v>9.202462338906209</v>
      </c>
      <c r="J265" s="520">
        <f t="shared" si="45"/>
        <v>7.95380581070735</v>
      </c>
      <c r="K265" s="520">
        <f t="shared" si="46"/>
        <v>10.802905166506557</v>
      </c>
      <c r="L265" s="520">
        <f t="shared" si="47"/>
        <v>10.48040602142848</v>
      </c>
      <c r="M265" s="523">
        <f t="shared" si="39"/>
        <v>83.5309931498469</v>
      </c>
      <c r="N265" s="523"/>
      <c r="O265" s="525">
        <f t="shared" si="40"/>
        <v>0.6290778117587312</v>
      </c>
      <c r="P265" s="521">
        <f t="shared" si="41"/>
        <v>84.16007096160564</v>
      </c>
    </row>
    <row r="266" spans="4:16" ht="14.25">
      <c r="D266" s="517">
        <f>$D$85</f>
        <v>11</v>
      </c>
      <c r="E266" s="518">
        <f>$O$85</f>
        <v>0.08301337446144315</v>
      </c>
      <c r="F266" s="518"/>
      <c r="G266" s="520">
        <f t="shared" si="42"/>
        <v>27.678298471383364</v>
      </c>
      <c r="H266" s="520">
        <f t="shared" si="43"/>
        <v>9.471256372342316</v>
      </c>
      <c r="I266" s="520">
        <f t="shared" si="44"/>
        <v>7.54648351992487</v>
      </c>
      <c r="J266" s="520">
        <f t="shared" si="45"/>
        <v>5.8561123974857585</v>
      </c>
      <c r="K266" s="520">
        <f t="shared" si="46"/>
        <v>7.95380581070735</v>
      </c>
      <c r="L266" s="520">
        <f t="shared" si="47"/>
        <v>7.716360833218983</v>
      </c>
      <c r="M266" s="523">
        <f t="shared" si="39"/>
        <v>66.22231740506264</v>
      </c>
      <c r="N266" s="523"/>
      <c r="O266" s="525">
        <f t="shared" si="40"/>
        <v>0.6290778117587312</v>
      </c>
      <c r="P266" s="521">
        <f t="shared" si="41"/>
        <v>66.85139521682137</v>
      </c>
    </row>
    <row r="267" spans="4:16" ht="14.25">
      <c r="D267" s="517">
        <f>$D$86</f>
        <v>12</v>
      </c>
      <c r="E267" s="518">
        <f>$O$86</f>
        <v>0.06598175808008781</v>
      </c>
      <c r="F267" s="518"/>
      <c r="G267" s="520">
        <f t="shared" si="42"/>
        <v>21.999621213513223</v>
      </c>
      <c r="H267" s="520">
        <f t="shared" si="43"/>
        <v>7.5280658174501704</v>
      </c>
      <c r="I267" s="520">
        <f t="shared" si="44"/>
        <v>6.9604931204648945</v>
      </c>
      <c r="J267" s="520">
        <f t="shared" si="45"/>
        <v>4.802307694497636</v>
      </c>
      <c r="K267" s="520">
        <f t="shared" si="46"/>
        <v>5.8561123974857585</v>
      </c>
      <c r="L267" s="520">
        <f t="shared" si="47"/>
        <v>5.681289864790974</v>
      </c>
      <c r="M267" s="523">
        <f t="shared" si="39"/>
        <v>52.82789010820266</v>
      </c>
      <c r="N267" s="523"/>
      <c r="O267" s="525">
        <f t="shared" si="40"/>
        <v>0.6290778117587312</v>
      </c>
      <c r="P267" s="521">
        <f t="shared" si="41"/>
        <v>53.45696791996139</v>
      </c>
    </row>
    <row r="268" spans="4:16" ht="14.25">
      <c r="D268" s="517">
        <f>$D$87</f>
        <v>13</v>
      </c>
      <c r="E268" s="518">
        <f>$O$87</f>
        <v>0.05244446967230958</v>
      </c>
      <c r="F268" s="518"/>
      <c r="G268" s="520">
        <f t="shared" si="42"/>
        <v>17.4860219112982</v>
      </c>
      <c r="H268" s="520">
        <f t="shared" si="43"/>
        <v>5.983554105593945</v>
      </c>
      <c r="I268" s="520">
        <f t="shared" si="44"/>
        <v>5.532428673959561</v>
      </c>
      <c r="J268" s="520">
        <f t="shared" si="45"/>
        <v>4.429404713023106</v>
      </c>
      <c r="K268" s="520">
        <f t="shared" si="46"/>
        <v>4.802307694497636</v>
      </c>
      <c r="L268" s="520">
        <f t="shared" si="47"/>
        <v>4.182937426775549</v>
      </c>
      <c r="M268" s="523">
        <f t="shared" si="39"/>
        <v>42.41665452514799</v>
      </c>
      <c r="N268" s="523"/>
      <c r="O268" s="525">
        <f t="shared" si="40"/>
        <v>0.6290778117587312</v>
      </c>
      <c r="P268" s="521">
        <f t="shared" si="41"/>
        <v>43.045732336906724</v>
      </c>
    </row>
    <row r="269" spans="4:16" ht="14.25">
      <c r="D269" s="517">
        <f>$D$88</f>
        <v>14</v>
      </c>
      <c r="E269" s="518">
        <f>$O$88</f>
        <v>0.04168458797159317</v>
      </c>
      <c r="F269" s="518"/>
      <c r="G269" s="520">
        <f t="shared" si="42"/>
        <v>13.898464856048871</v>
      </c>
      <c r="H269" s="520">
        <f t="shared" si="43"/>
        <v>4.755925439915581</v>
      </c>
      <c r="I269" s="520">
        <f t="shared" si="44"/>
        <v>4.3973561215739885</v>
      </c>
      <c r="J269" s="520">
        <f t="shared" si="45"/>
        <v>3.520636428883351</v>
      </c>
      <c r="K269" s="520">
        <f t="shared" si="46"/>
        <v>4.429404713023106</v>
      </c>
      <c r="L269" s="520">
        <f t="shared" si="47"/>
        <v>3.4302197817840314</v>
      </c>
      <c r="M269" s="523">
        <f t="shared" si="39"/>
        <v>34.43200734122893</v>
      </c>
      <c r="N269" s="523"/>
      <c r="O269" s="525">
        <f t="shared" si="40"/>
        <v>0.6290778117587312</v>
      </c>
      <c r="P269" s="521">
        <f t="shared" si="41"/>
        <v>35.061085152987665</v>
      </c>
    </row>
    <row r="270" spans="4:16" ht="14.25">
      <c r="D270" s="517">
        <f>$D$89</f>
        <v>15</v>
      </c>
      <c r="E270" s="518">
        <f>$O$89</f>
        <v>0.03313228039521844</v>
      </c>
      <c r="F270" s="518"/>
      <c r="G270" s="520">
        <f t="shared" si="42"/>
        <v>11.046956611098317</v>
      </c>
      <c r="H270" s="520">
        <f t="shared" si="43"/>
        <v>3.7801658330272594</v>
      </c>
      <c r="I270" s="520">
        <f t="shared" si="44"/>
        <v>3.495163155190741</v>
      </c>
      <c r="J270" s="520">
        <f t="shared" si="45"/>
        <v>2.798317531910715</v>
      </c>
      <c r="K270" s="520">
        <f t="shared" si="46"/>
        <v>3.520636428883351</v>
      </c>
      <c r="L270" s="520">
        <f t="shared" si="47"/>
        <v>3.1638605093022245</v>
      </c>
      <c r="M270" s="523">
        <f t="shared" si="39"/>
        <v>27.805100069412607</v>
      </c>
      <c r="N270" s="523"/>
      <c r="O270" s="525">
        <f t="shared" si="40"/>
        <v>0.6290778117587312</v>
      </c>
      <c r="P270" s="521">
        <f t="shared" si="41"/>
        <v>28.434177881171337</v>
      </c>
    </row>
    <row r="271" spans="4:16" ht="14.25">
      <c r="D271" s="517">
        <f>$D$90</f>
        <v>16</v>
      </c>
      <c r="E271" s="518">
        <f>$O$90</f>
        <v>0.026334625280102514</v>
      </c>
      <c r="F271" s="518"/>
      <c r="G271" s="520">
        <f t="shared" si="42"/>
        <v>8.780484149253118</v>
      </c>
      <c r="H271" s="520">
        <f t="shared" si="43"/>
        <v>3.0046000312066137</v>
      </c>
      <c r="I271" s="520">
        <f t="shared" si="44"/>
        <v>2.7780705368548237</v>
      </c>
      <c r="J271" s="520">
        <f t="shared" si="45"/>
        <v>2.224194735121377</v>
      </c>
      <c r="K271" s="520">
        <f t="shared" si="46"/>
        <v>2.798317531910715</v>
      </c>
      <c r="L271" s="520">
        <f t="shared" si="47"/>
        <v>2.514740306345255</v>
      </c>
      <c r="M271" s="523">
        <f t="shared" si="39"/>
        <v>22.100407290691905</v>
      </c>
      <c r="N271" s="523"/>
      <c r="O271" s="525">
        <f t="shared" si="40"/>
        <v>0.6290778117587312</v>
      </c>
      <c r="P271" s="521">
        <f t="shared" si="41"/>
        <v>22.729485102450635</v>
      </c>
    </row>
    <row r="272" spans="4:16" ht="14.25">
      <c r="D272" s="517">
        <f>$D$91</f>
        <v>17</v>
      </c>
      <c r="E272" s="518">
        <f>$O$91</f>
        <v>0.020931625604119333</v>
      </c>
      <c r="F272" s="518"/>
      <c r="G272" s="520">
        <f t="shared" si="42"/>
        <v>6.979017353777781</v>
      </c>
      <c r="H272" s="520">
        <f t="shared" si="43"/>
        <v>2.388154844597705</v>
      </c>
      <c r="I272" s="520">
        <f t="shared" si="44"/>
        <v>2.2081017580764914</v>
      </c>
      <c r="J272" s="520">
        <f t="shared" si="45"/>
        <v>1.767863068907612</v>
      </c>
      <c r="K272" s="520">
        <f t="shared" si="46"/>
        <v>2.224194735121377</v>
      </c>
      <c r="L272" s="520">
        <f t="shared" si="47"/>
        <v>1.9987982370790853</v>
      </c>
      <c r="M272" s="523">
        <f t="shared" si="39"/>
        <v>17.566129997560054</v>
      </c>
      <c r="N272" s="523"/>
      <c r="O272" s="525">
        <f t="shared" si="40"/>
        <v>0.6290778117587312</v>
      </c>
      <c r="P272" s="521">
        <f t="shared" si="41"/>
        <v>18.195207809318784</v>
      </c>
    </row>
    <row r="273" spans="4:16" ht="14.25">
      <c r="D273" s="517">
        <f>$D$92</f>
        <v>18</v>
      </c>
      <c r="E273" s="518">
        <f>$O$92</f>
        <v>0.01663714390354593</v>
      </c>
      <c r="F273" s="518"/>
      <c r="G273" s="520">
        <f t="shared" si="42"/>
        <v>5.547152343356203</v>
      </c>
      <c r="H273" s="520">
        <f t="shared" si="43"/>
        <v>1.8981839521199506</v>
      </c>
      <c r="I273" s="520">
        <f t="shared" si="44"/>
        <v>1.7550718418908455</v>
      </c>
      <c r="J273" s="520">
        <f t="shared" si="45"/>
        <v>1.405155664230492</v>
      </c>
      <c r="K273" s="520">
        <f t="shared" si="46"/>
        <v>1.767863068907612</v>
      </c>
      <c r="L273" s="520">
        <f t="shared" si="47"/>
        <v>1.5887105250867004</v>
      </c>
      <c r="M273" s="523">
        <f t="shared" si="39"/>
        <v>13.962137395591803</v>
      </c>
      <c r="N273" s="523"/>
      <c r="O273" s="525">
        <f t="shared" si="40"/>
        <v>0.6290778117587312</v>
      </c>
      <c r="P273" s="521">
        <f t="shared" si="41"/>
        <v>14.591215207350535</v>
      </c>
    </row>
    <row r="274" spans="4:16" ht="14.25">
      <c r="D274" s="517">
        <f>$D$93</f>
        <v>19</v>
      </c>
      <c r="E274" s="518">
        <f>$O$93</f>
        <v>0.013223748718915672</v>
      </c>
      <c r="F274" s="518"/>
      <c r="G274" s="520">
        <f t="shared" si="42"/>
        <v>4.409058977872545</v>
      </c>
      <c r="H274" s="520">
        <f t="shared" si="43"/>
        <v>1.5087389849265294</v>
      </c>
      <c r="I274" s="520">
        <f t="shared" si="44"/>
        <v>1.3949887766410738</v>
      </c>
      <c r="J274" s="520">
        <f t="shared" si="45"/>
        <v>1.1168638993850815</v>
      </c>
      <c r="K274" s="520">
        <f t="shared" si="46"/>
        <v>1.405155664230492</v>
      </c>
      <c r="L274" s="520">
        <f t="shared" si="47"/>
        <v>1.2627593349340107</v>
      </c>
      <c r="M274" s="523">
        <f t="shared" si="39"/>
        <v>11.097565637989732</v>
      </c>
      <c r="N274" s="523"/>
      <c r="O274" s="525">
        <f t="shared" si="40"/>
        <v>0.6290778117587312</v>
      </c>
      <c r="P274" s="521">
        <f t="shared" si="41"/>
        <v>11.726643449748464</v>
      </c>
    </row>
    <row r="275" spans="4:16" ht="14.25">
      <c r="D275" s="517">
        <f>$D$94</f>
        <v>20</v>
      </c>
      <c r="E275" s="518">
        <f>$O$94</f>
        <v>0.010510670052192892</v>
      </c>
      <c r="F275" s="518"/>
      <c r="G275" s="520">
        <f t="shared" si="42"/>
        <v>3.5044649699663344</v>
      </c>
      <c r="H275" s="520">
        <f t="shared" si="43"/>
        <v>1.1991953267199944</v>
      </c>
      <c r="I275" s="520">
        <f t="shared" si="44"/>
        <v>1.1087829230158592</v>
      </c>
      <c r="J275" s="520">
        <f t="shared" si="45"/>
        <v>0.8877201305897726</v>
      </c>
      <c r="K275" s="520">
        <f t="shared" si="46"/>
        <v>1.1168638993850815</v>
      </c>
      <c r="L275" s="520">
        <f t="shared" si="47"/>
        <v>1.003682617307496</v>
      </c>
      <c r="M275" s="523">
        <f t="shared" si="39"/>
        <v>8.820709866984538</v>
      </c>
      <c r="N275" s="523"/>
      <c r="O275" s="525">
        <f t="shared" si="40"/>
        <v>0.6290778117587312</v>
      </c>
      <c r="P275" s="521">
        <f t="shared" si="41"/>
        <v>9.44978767874327</v>
      </c>
    </row>
    <row r="276" spans="4:16" ht="14.25">
      <c r="D276" s="517">
        <f>$D$95</f>
        <v>21</v>
      </c>
      <c r="E276" s="518">
        <f>$O$95</f>
        <v>0.008354225968317048</v>
      </c>
      <c r="F276" s="518"/>
      <c r="G276" s="520">
        <f t="shared" si="42"/>
        <v>2.7854639249228406</v>
      </c>
      <c r="H276" s="520">
        <f t="shared" si="43"/>
        <v>0.9531598546829506</v>
      </c>
      <c r="I276" s="520">
        <f t="shared" si="44"/>
        <v>0.8812971050074</v>
      </c>
      <c r="J276" s="520">
        <f t="shared" si="45"/>
        <v>0.7055891328282727</v>
      </c>
      <c r="K276" s="520">
        <f t="shared" si="46"/>
        <v>0.8877201305897726</v>
      </c>
      <c r="L276" s="520">
        <f t="shared" si="47"/>
        <v>0.7977599281322024</v>
      </c>
      <c r="M276" s="523">
        <f t="shared" si="39"/>
        <v>7.010990076163439</v>
      </c>
      <c r="N276" s="523"/>
      <c r="O276" s="525">
        <f t="shared" si="40"/>
        <v>0.6290778117587312</v>
      </c>
      <c r="P276" s="521">
        <f t="shared" si="41"/>
        <v>7.64006788792217</v>
      </c>
    </row>
    <row r="277" spans="4:16" ht="14.25">
      <c r="D277" s="517">
        <f>$D$96</f>
        <v>22</v>
      </c>
      <c r="E277" s="518">
        <f>$O$96</f>
        <v>0.00664021334350055</v>
      </c>
      <c r="F277" s="518"/>
      <c r="G277" s="520">
        <f t="shared" si="42"/>
        <v>2.213978265880936</v>
      </c>
      <c r="H277" s="520">
        <f t="shared" si="43"/>
        <v>0.7576027760749914</v>
      </c>
      <c r="I277" s="520">
        <f t="shared" si="44"/>
        <v>0.700483901016317</v>
      </c>
      <c r="J277" s="520">
        <f t="shared" si="45"/>
        <v>0.5608254304592536</v>
      </c>
      <c r="K277" s="520">
        <f t="shared" si="46"/>
        <v>0.7055891328282727</v>
      </c>
      <c r="L277" s="520">
        <f t="shared" si="47"/>
        <v>0.6340858075641244</v>
      </c>
      <c r="M277" s="523">
        <f t="shared" si="39"/>
        <v>5.572565313823895</v>
      </c>
      <c r="N277" s="523"/>
      <c r="O277" s="525">
        <f t="shared" si="40"/>
        <v>0.6290778117587312</v>
      </c>
      <c r="P277" s="521">
        <f t="shared" si="41"/>
        <v>6.201643125582626</v>
      </c>
    </row>
    <row r="278" spans="4:16" ht="14.25">
      <c r="D278" s="517">
        <f>$D$97</f>
        <v>23</v>
      </c>
      <c r="E278" s="518">
        <f>$O$97</f>
        <v>0.005277859781914084</v>
      </c>
      <c r="F278" s="518"/>
      <c r="G278" s="520">
        <f t="shared" si="42"/>
        <v>1.759742683412761</v>
      </c>
      <c r="H278" s="520">
        <f t="shared" si="43"/>
        <v>0.6021675834295916</v>
      </c>
      <c r="I278" s="520">
        <f t="shared" si="44"/>
        <v>0.5567676244425172</v>
      </c>
      <c r="J278" s="520">
        <f t="shared" si="45"/>
        <v>0.44576248246492817</v>
      </c>
      <c r="K278" s="520">
        <f t="shared" si="46"/>
        <v>0.5608254304592536</v>
      </c>
      <c r="L278" s="520">
        <f t="shared" si="47"/>
        <v>0.5039922377344814</v>
      </c>
      <c r="M278" s="523">
        <f t="shared" si="39"/>
        <v>4.429258041943533</v>
      </c>
      <c r="N278" s="523"/>
      <c r="O278" s="525">
        <f t="shared" si="40"/>
        <v>0.6290778117587312</v>
      </c>
      <c r="P278" s="521">
        <f t="shared" si="41"/>
        <v>5.058335853702264</v>
      </c>
    </row>
    <row r="279" spans="4:16" ht="14.25">
      <c r="D279" s="517">
        <f>$D$98</f>
        <v>24</v>
      </c>
      <c r="E279" s="518">
        <f>$O$98</f>
        <v>0.004195016400310614</v>
      </c>
      <c r="F279" s="518"/>
      <c r="G279" s="520">
        <f t="shared" si="42"/>
        <v>1.3987013149799725</v>
      </c>
      <c r="H279" s="520">
        <f t="shared" si="43"/>
        <v>0.47862258426775084</v>
      </c>
      <c r="I279" s="520">
        <f t="shared" si="44"/>
        <v>0.4425372048916548</v>
      </c>
      <c r="J279" s="520">
        <f t="shared" si="45"/>
        <v>0.354306670099783</v>
      </c>
      <c r="K279" s="520">
        <f t="shared" si="46"/>
        <v>0.44576248246492817</v>
      </c>
      <c r="L279" s="520">
        <f t="shared" si="47"/>
        <v>0.4005895931851818</v>
      </c>
      <c r="M279" s="523">
        <f t="shared" si="39"/>
        <v>3.5205198498892716</v>
      </c>
      <c r="N279" s="523"/>
      <c r="O279" s="525">
        <f t="shared" si="40"/>
        <v>0.6290778117587312</v>
      </c>
      <c r="P279" s="521">
        <f t="shared" si="41"/>
        <v>4.149597661648003</v>
      </c>
    </row>
    <row r="280" ht="14.25">
      <c r="P280" s="443"/>
    </row>
    <row r="281" ht="15">
      <c r="B281" s="526" t="s">
        <v>392</v>
      </c>
    </row>
    <row r="282" ht="14.25">
      <c r="D282" s="527"/>
    </row>
    <row r="283" spans="4:12" ht="14.25">
      <c r="D283" s="513" t="s">
        <v>366</v>
      </c>
      <c r="E283" s="514" t="s">
        <v>278</v>
      </c>
      <c r="F283" s="515" t="s">
        <v>393</v>
      </c>
      <c r="G283" s="515"/>
      <c r="H283" s="515"/>
      <c r="I283" s="515"/>
      <c r="J283" s="515"/>
      <c r="K283" s="416"/>
      <c r="L283" s="416"/>
    </row>
    <row r="284" spans="4:31" ht="14.25">
      <c r="D284" s="513"/>
      <c r="E284" s="514"/>
      <c r="F284" s="417">
        <f>Rekap!B171</f>
        <v>5</v>
      </c>
      <c r="G284" s="417">
        <f>Rekap!B172</f>
        <v>20</v>
      </c>
      <c r="H284" s="417">
        <f>Rekap!B173</f>
        <v>25</v>
      </c>
      <c r="I284" s="417">
        <f>Rekap!B174</f>
        <v>50</v>
      </c>
      <c r="J284" s="417">
        <f>Rekap!B175</f>
        <v>100</v>
      </c>
      <c r="Q284" s="416"/>
      <c r="R284" s="416"/>
      <c r="AD284" s="413"/>
      <c r="AE284" s="413"/>
    </row>
    <row r="285" spans="4:31" ht="14.25">
      <c r="D285" s="517">
        <f aca="true" t="shared" si="48" ref="D285:E312">D252</f>
        <v>0</v>
      </c>
      <c r="E285" s="500">
        <f t="shared" si="48"/>
        <v>0</v>
      </c>
      <c r="F285" s="520">
        <f>P118</f>
        <v>260.12239388159037</v>
      </c>
      <c r="G285" s="520">
        <f>P153</f>
        <v>0.6290778117587312</v>
      </c>
      <c r="H285" s="520">
        <f>P186</f>
        <v>0.6290778117587312</v>
      </c>
      <c r="I285" s="520">
        <f>P219</f>
        <v>0.6290778117587312</v>
      </c>
      <c r="J285" s="520">
        <f>P252</f>
        <v>0.6290778117587312</v>
      </c>
      <c r="K285" s="516"/>
      <c r="L285" s="516"/>
      <c r="M285" s="516"/>
      <c r="N285" s="516"/>
      <c r="O285" s="516"/>
      <c r="P285" s="516"/>
      <c r="Q285" s="417"/>
      <c r="R285" s="417"/>
      <c r="S285" s="417"/>
      <c r="T285" s="417"/>
      <c r="AD285" s="413"/>
      <c r="AE285" s="413"/>
    </row>
    <row r="286" spans="4:31" ht="14.25">
      <c r="D286" s="517">
        <f t="shared" si="48"/>
        <v>1</v>
      </c>
      <c r="E286" s="500">
        <f t="shared" si="48"/>
        <v>0.08365888449340493</v>
      </c>
      <c r="F286" s="520">
        <f>P119</f>
        <v>22.33799916765539</v>
      </c>
      <c r="G286" s="520">
        <f aca="true" t="shared" si="49" ref="G286:G312">P154</f>
        <v>25.487806518088572</v>
      </c>
      <c r="H286" s="520">
        <f aca="true" t="shared" si="50" ref="H286:H312">P187</f>
        <v>26.160131775020066</v>
      </c>
      <c r="I286" s="520">
        <f aca="true" t="shared" si="51" ref="I286:I312">P220</f>
        <v>27.41280424017673</v>
      </c>
      <c r="J286" s="520">
        <f aca="true" t="shared" si="52" ref="J286:J312">P253</f>
        <v>28.522602075935385</v>
      </c>
      <c r="K286" s="516"/>
      <c r="L286" s="516"/>
      <c r="M286" s="516"/>
      <c r="N286" s="516"/>
      <c r="O286" s="516"/>
      <c r="P286" s="516"/>
      <c r="Q286" s="417"/>
      <c r="R286" s="417"/>
      <c r="S286" s="417"/>
      <c r="T286" s="417"/>
      <c r="AD286" s="413"/>
      <c r="AE286" s="413"/>
    </row>
    <row r="287" spans="4:31" ht="14.25">
      <c r="D287" s="517">
        <f t="shared" si="48"/>
        <v>2</v>
      </c>
      <c r="E287" s="500">
        <f t="shared" si="48"/>
        <v>0.4415542395819344</v>
      </c>
      <c r="F287" s="520">
        <f>P120</f>
        <v>121.11393994045241</v>
      </c>
      <c r="G287" s="520">
        <f t="shared" si="49"/>
        <v>138.5954213151963</v>
      </c>
      <c r="H287" s="520">
        <f t="shared" si="50"/>
        <v>142.3268372874149</v>
      </c>
      <c r="I287" s="520">
        <f t="shared" si="51"/>
        <v>149.27918958454157</v>
      </c>
      <c r="J287" s="520">
        <f t="shared" si="52"/>
        <v>155.43858539421797</v>
      </c>
      <c r="K287" s="516"/>
      <c r="L287" s="516"/>
      <c r="M287" s="516"/>
      <c r="N287" s="516"/>
      <c r="O287" s="516"/>
      <c r="P287" s="516"/>
      <c r="Q287" s="417"/>
      <c r="R287" s="417"/>
      <c r="S287" s="417"/>
      <c r="T287" s="417"/>
      <c r="AD287" s="413"/>
      <c r="AE287" s="413"/>
    </row>
    <row r="288" spans="4:31" ht="14.25">
      <c r="D288" s="517">
        <f t="shared" si="48"/>
        <v>3</v>
      </c>
      <c r="E288" s="500">
        <f t="shared" si="48"/>
        <v>1.1684310265780802</v>
      </c>
      <c r="F288" s="520">
        <f>P121</f>
        <v>339.33244553332355</v>
      </c>
      <c r="G288" s="520">
        <f t="shared" si="49"/>
        <v>388.47585251222785</v>
      </c>
      <c r="H288" s="520">
        <f t="shared" si="50"/>
        <v>398.96549522610275</v>
      </c>
      <c r="I288" s="520">
        <f t="shared" si="51"/>
        <v>418.50973584703945</v>
      </c>
      <c r="J288" s="520">
        <f t="shared" si="52"/>
        <v>435.82484138817495</v>
      </c>
      <c r="K288" s="516"/>
      <c r="L288" s="516"/>
      <c r="M288" s="516"/>
      <c r="N288" s="516"/>
      <c r="O288" s="516"/>
      <c r="P288" s="516"/>
      <c r="Q288" s="417"/>
      <c r="R288" s="417"/>
      <c r="S288" s="417"/>
      <c r="T288" s="417"/>
      <c r="AD288" s="413"/>
      <c r="AE288" s="413"/>
    </row>
    <row r="289" spans="4:31" ht="14.25">
      <c r="D289" s="500">
        <f t="shared" si="48"/>
        <v>3.09392149</v>
      </c>
      <c r="E289" s="500">
        <f t="shared" si="48"/>
        <v>1.2581556235174625</v>
      </c>
      <c r="F289" s="520">
        <f>P122</f>
        <v>435.241778868881</v>
      </c>
      <c r="G289" s="520">
        <f t="shared" si="49"/>
        <v>498.30093588266345</v>
      </c>
      <c r="H289" s="520">
        <f t="shared" si="50"/>
        <v>511.76089048444055</v>
      </c>
      <c r="I289" s="520">
        <f t="shared" si="51"/>
        <v>536.8393987482214</v>
      </c>
      <c r="J289" s="520">
        <f t="shared" si="52"/>
        <v>559.0575563028528</v>
      </c>
      <c r="K289" s="516"/>
      <c r="L289" s="516"/>
      <c r="M289" s="516"/>
      <c r="N289" s="516"/>
      <c r="O289" s="516"/>
      <c r="P289" s="516"/>
      <c r="Q289" s="417"/>
      <c r="R289" s="417"/>
      <c r="S289" s="417"/>
      <c r="T289" s="417"/>
      <c r="AD289" s="413"/>
      <c r="AE289" s="413"/>
    </row>
    <row r="290" spans="4:31" ht="14.25">
      <c r="D290" s="517">
        <f t="shared" si="48"/>
        <v>4</v>
      </c>
      <c r="E290" s="500">
        <f t="shared" si="48"/>
        <v>0.8298860821192442</v>
      </c>
      <c r="F290" s="520">
        <f>P123</f>
        <v>382.7176504331092</v>
      </c>
      <c r="G290" s="520">
        <f t="shared" si="49"/>
        <v>438.1559366026038</v>
      </c>
      <c r="H290" s="520">
        <f t="shared" si="50"/>
        <v>449.98921903736004</v>
      </c>
      <c r="I290" s="520">
        <f t="shared" si="51"/>
        <v>472.0369212850708</v>
      </c>
      <c r="J290" s="520">
        <f t="shared" si="52"/>
        <v>491.5699539959802</v>
      </c>
      <c r="K290" s="516"/>
      <c r="L290" s="516"/>
      <c r="M290" s="516"/>
      <c r="N290" s="516"/>
      <c r="O290" s="516"/>
      <c r="P290" s="516"/>
      <c r="Q290" s="417"/>
      <c r="R290" s="417"/>
      <c r="S290" s="417"/>
      <c r="T290" s="417"/>
      <c r="AD290" s="413"/>
      <c r="AE290" s="413"/>
    </row>
    <row r="291" spans="4:31" ht="14.25">
      <c r="D291" s="517">
        <f t="shared" si="48"/>
        <v>5</v>
      </c>
      <c r="E291" s="500">
        <f t="shared" si="48"/>
        <v>0.5242882336434767</v>
      </c>
      <c r="F291" s="520">
        <f>P124</f>
        <v>315.62207156979497</v>
      </c>
      <c r="G291" s="520">
        <f t="shared" si="49"/>
        <v>361.3252749122549</v>
      </c>
      <c r="H291" s="520">
        <f t="shared" si="50"/>
        <v>371.08060738539353</v>
      </c>
      <c r="I291" s="520">
        <f t="shared" si="51"/>
        <v>389.2566854838468</v>
      </c>
      <c r="J291" s="520">
        <f t="shared" si="52"/>
        <v>405.35967544916144</v>
      </c>
      <c r="K291" s="516"/>
      <c r="L291" s="516"/>
      <c r="M291" s="528"/>
      <c r="N291" s="516"/>
      <c r="O291" s="516"/>
      <c r="P291" s="516"/>
      <c r="Q291" s="417"/>
      <c r="R291" s="417"/>
      <c r="S291" s="417"/>
      <c r="T291" s="417"/>
      <c r="AD291" s="413"/>
      <c r="AE291" s="413"/>
    </row>
    <row r="292" spans="4:31" ht="14.25">
      <c r="D292" s="500">
        <f t="shared" si="48"/>
        <v>5.71554605</v>
      </c>
      <c r="E292" s="500">
        <f t="shared" si="48"/>
        <v>0.3774466870552386</v>
      </c>
      <c r="F292" s="520">
        <f>P125</f>
        <v>269.1271131028879</v>
      </c>
      <c r="G292" s="520">
        <f t="shared" si="49"/>
        <v>308.0842345218731</v>
      </c>
      <c r="H292" s="520">
        <f t="shared" si="50"/>
        <v>316.39961821152275</v>
      </c>
      <c r="I292" s="520">
        <f t="shared" si="51"/>
        <v>331.8927922040897</v>
      </c>
      <c r="J292" s="520">
        <f t="shared" si="52"/>
        <v>345.6188789859467</v>
      </c>
      <c r="K292" s="516"/>
      <c r="L292" s="516"/>
      <c r="M292" s="516"/>
      <c r="N292" s="516"/>
      <c r="O292" s="516"/>
      <c r="P292" s="516"/>
      <c r="Q292" s="417"/>
      <c r="R292" s="417"/>
      <c r="S292" s="417"/>
      <c r="T292" s="417"/>
      <c r="AD292" s="413"/>
      <c r="AE292" s="413"/>
    </row>
    <row r="293" spans="4:31" ht="14.25">
      <c r="D293" s="517">
        <f t="shared" si="48"/>
        <v>6</v>
      </c>
      <c r="E293" s="500">
        <f t="shared" si="48"/>
        <v>0.3459656917135998</v>
      </c>
      <c r="F293" s="520">
        <f>P126</f>
        <v>240.7061715767403</v>
      </c>
      <c r="G293" s="520">
        <f t="shared" si="49"/>
        <v>275.5396201030151</v>
      </c>
      <c r="H293" s="520">
        <f t="shared" si="50"/>
        <v>282.9748072826428</v>
      </c>
      <c r="I293" s="520">
        <f t="shared" si="51"/>
        <v>296.8280043136661</v>
      </c>
      <c r="J293" s="520">
        <f t="shared" si="52"/>
        <v>309.1011631089664</v>
      </c>
      <c r="K293" s="516"/>
      <c r="L293" s="516"/>
      <c r="M293" s="516"/>
      <c r="N293" s="516"/>
      <c r="O293" s="516"/>
      <c r="P293" s="516"/>
      <c r="Q293" s="417"/>
      <c r="R293" s="417"/>
      <c r="S293" s="417"/>
      <c r="T293" s="417"/>
      <c r="AD293" s="413"/>
      <c r="AE293" s="413"/>
    </row>
    <row r="294" spans="4:31" ht="14.25">
      <c r="D294" s="517">
        <f t="shared" si="48"/>
        <v>7</v>
      </c>
      <c r="E294" s="500">
        <f t="shared" si="48"/>
        <v>0.25472258495692024</v>
      </c>
      <c r="F294" s="520">
        <f>P127</f>
        <v>185.08342058533108</v>
      </c>
      <c r="G294" s="520">
        <f t="shared" si="49"/>
        <v>211.84641056362895</v>
      </c>
      <c r="H294" s="520">
        <f t="shared" si="50"/>
        <v>217.55896124103452</v>
      </c>
      <c r="I294" s="520">
        <f t="shared" si="51"/>
        <v>228.20255207095207</v>
      </c>
      <c r="J294" s="520">
        <f t="shared" si="52"/>
        <v>237.63217904552275</v>
      </c>
      <c r="K294" s="516"/>
      <c r="L294" s="516"/>
      <c r="M294" s="516"/>
      <c r="N294" s="516"/>
      <c r="O294" s="516"/>
      <c r="P294" s="516"/>
      <c r="Q294" s="417"/>
      <c r="R294" s="417"/>
      <c r="S294" s="417"/>
      <c r="T294" s="417"/>
      <c r="AD294" s="413"/>
      <c r="AE294" s="413"/>
    </row>
    <row r="295" spans="4:31" ht="14.25">
      <c r="D295" s="517">
        <f t="shared" si="48"/>
        <v>8</v>
      </c>
      <c r="E295" s="500">
        <f t="shared" si="48"/>
        <v>0.18754343809572857</v>
      </c>
      <c r="F295" s="520">
        <f>P128</f>
        <v>134.54740086533135</v>
      </c>
      <c r="G295" s="520">
        <f t="shared" si="49"/>
        <v>153.97798018323252</v>
      </c>
      <c r="H295" s="520">
        <f t="shared" si="50"/>
        <v>158.12543041711396</v>
      </c>
      <c r="I295" s="520">
        <f t="shared" si="51"/>
        <v>165.8529353041128</v>
      </c>
      <c r="J295" s="520">
        <f t="shared" si="52"/>
        <v>172.69907301205168</v>
      </c>
      <c r="K295" s="516"/>
      <c r="L295" s="516"/>
      <c r="M295" s="516"/>
      <c r="N295" s="516"/>
      <c r="O295" s="516"/>
      <c r="P295" s="516"/>
      <c r="Q295" s="417"/>
      <c r="R295" s="417"/>
      <c r="S295" s="417"/>
      <c r="T295" s="417"/>
      <c r="AD295" s="413"/>
      <c r="AE295" s="413"/>
    </row>
    <row r="296" spans="4:31" ht="14.25">
      <c r="D296" s="517">
        <f t="shared" si="48"/>
        <v>9</v>
      </c>
      <c r="E296" s="500">
        <f t="shared" si="48"/>
        <v>0.13808175344449689</v>
      </c>
      <c r="F296" s="520">
        <f>P129</f>
        <v>99.14755822582607</v>
      </c>
      <c r="G296" s="520">
        <f t="shared" si="49"/>
        <v>113.44187661569153</v>
      </c>
      <c r="H296" s="520">
        <f t="shared" si="50"/>
        <v>116.49299378411303</v>
      </c>
      <c r="I296" s="520">
        <f t="shared" si="51"/>
        <v>122.17781735045095</v>
      </c>
      <c r="J296" s="520">
        <f t="shared" si="52"/>
        <v>127.2142535028195</v>
      </c>
      <c r="K296" s="516"/>
      <c r="L296" s="516"/>
      <c r="M296" s="516"/>
      <c r="N296" s="516"/>
      <c r="O296" s="516"/>
      <c r="P296" s="516"/>
      <c r="Q296" s="417"/>
      <c r="R296" s="417"/>
      <c r="S296" s="417"/>
      <c r="T296" s="417"/>
      <c r="AD296" s="413"/>
      <c r="AE296" s="413"/>
    </row>
    <row r="297" spans="4:31" ht="14.25">
      <c r="D297" s="500">
        <f t="shared" si="48"/>
        <v>9.64798289</v>
      </c>
      <c r="E297" s="500">
        <f t="shared" si="48"/>
        <v>0.11323400611657154</v>
      </c>
      <c r="F297" s="520">
        <f>P130</f>
        <v>78.2115605841569</v>
      </c>
      <c r="G297" s="520">
        <f t="shared" si="49"/>
        <v>89.46821725977652</v>
      </c>
      <c r="H297" s="520">
        <f t="shared" si="50"/>
        <v>91.87094661736239</v>
      </c>
      <c r="I297" s="520">
        <f t="shared" si="51"/>
        <v>96.34769782734716</v>
      </c>
      <c r="J297" s="520">
        <f t="shared" si="52"/>
        <v>100.31384934920541</v>
      </c>
      <c r="K297" s="516"/>
      <c r="L297" s="516"/>
      <c r="M297" s="516"/>
      <c r="N297" s="516"/>
      <c r="O297" s="516"/>
      <c r="P297" s="516"/>
      <c r="Q297" s="417"/>
      <c r="R297" s="417"/>
      <c r="S297" s="417"/>
      <c r="T297" s="417"/>
      <c r="AD297" s="413"/>
      <c r="AE297" s="413"/>
    </row>
    <row r="298" spans="4:31" ht="14.25">
      <c r="D298" s="517">
        <f t="shared" si="48"/>
        <v>10</v>
      </c>
      <c r="E298" s="500">
        <f t="shared" si="48"/>
        <v>0.10444129620055444</v>
      </c>
      <c r="F298" s="520">
        <f>P131</f>
        <v>65.63942730706641</v>
      </c>
      <c r="G298" s="520">
        <f t="shared" si="49"/>
        <v>75.07195844657092</v>
      </c>
      <c r="H298" s="520">
        <f t="shared" si="50"/>
        <v>77.08532885825962</v>
      </c>
      <c r="I298" s="520">
        <f t="shared" si="51"/>
        <v>80.83662876984472</v>
      </c>
      <c r="J298" s="520">
        <f t="shared" si="52"/>
        <v>84.16007096160564</v>
      </c>
      <c r="K298" s="516"/>
      <c r="L298" s="516"/>
      <c r="M298" s="516"/>
      <c r="N298" s="516"/>
      <c r="O298" s="516"/>
      <c r="P298" s="516"/>
      <c r="Q298" s="417"/>
      <c r="R298" s="417"/>
      <c r="S298" s="417"/>
      <c r="T298" s="417"/>
      <c r="AD298" s="413"/>
      <c r="AE298" s="413"/>
    </row>
    <row r="299" spans="4:31" ht="14.25">
      <c r="D299" s="517">
        <f t="shared" si="48"/>
        <v>11</v>
      </c>
      <c r="E299" s="500">
        <f t="shared" si="48"/>
        <v>0.08301337446144315</v>
      </c>
      <c r="F299" s="520">
        <f>P132</f>
        <v>52.168462614346936</v>
      </c>
      <c r="G299" s="520">
        <f t="shared" si="49"/>
        <v>59.646454285448606</v>
      </c>
      <c r="H299" s="520">
        <f t="shared" si="50"/>
        <v>61.24262894384909</v>
      </c>
      <c r="I299" s="520">
        <f t="shared" si="51"/>
        <v>64.21661218119586</v>
      </c>
      <c r="J299" s="520">
        <f t="shared" si="52"/>
        <v>66.85139521682137</v>
      </c>
      <c r="K299" s="516"/>
      <c r="L299" s="516"/>
      <c r="M299" s="516"/>
      <c r="N299" s="516"/>
      <c r="O299" s="516"/>
      <c r="P299" s="516"/>
      <c r="Q299" s="417"/>
      <c r="R299" s="417"/>
      <c r="S299" s="417"/>
      <c r="T299" s="417"/>
      <c r="AD299" s="413"/>
      <c r="AE299" s="413"/>
    </row>
    <row r="300" spans="4:31" ht="14.25">
      <c r="D300" s="517">
        <f t="shared" si="48"/>
        <v>12</v>
      </c>
      <c r="E300" s="500">
        <f t="shared" si="48"/>
        <v>0.06598175808008781</v>
      </c>
      <c r="F300" s="520">
        <f>P133</f>
        <v>41.743872087854996</v>
      </c>
      <c r="G300" s="520">
        <f t="shared" si="49"/>
        <v>47.709331131135365</v>
      </c>
      <c r="H300" s="520">
        <f t="shared" si="50"/>
        <v>48.98265623891893</v>
      </c>
      <c r="I300" s="520">
        <f t="shared" si="51"/>
        <v>51.355108092048745</v>
      </c>
      <c r="J300" s="520">
        <f t="shared" si="52"/>
        <v>53.45696791996139</v>
      </c>
      <c r="K300" s="516"/>
      <c r="L300" s="516"/>
      <c r="M300" s="516"/>
      <c r="N300" s="516"/>
      <c r="O300" s="516"/>
      <c r="P300" s="516"/>
      <c r="Q300" s="417"/>
      <c r="R300" s="417"/>
      <c r="S300" s="417"/>
      <c r="T300" s="417"/>
      <c r="AD300" s="413"/>
      <c r="AE300" s="413"/>
    </row>
    <row r="301" spans="4:31" ht="14.25">
      <c r="D301" s="517">
        <f t="shared" si="48"/>
        <v>13</v>
      </c>
      <c r="E301" s="500">
        <f t="shared" si="48"/>
        <v>0.05244446967230958</v>
      </c>
      <c r="F301" s="520">
        <f>P134</f>
        <v>33.64103458515487</v>
      </c>
      <c r="G301" s="520">
        <f t="shared" si="49"/>
        <v>38.4308305585408</v>
      </c>
      <c r="H301" s="520">
        <f t="shared" si="50"/>
        <v>39.45321080284789</v>
      </c>
      <c r="I301" s="520">
        <f t="shared" si="51"/>
        <v>41.35810366201073</v>
      </c>
      <c r="J301" s="520">
        <f t="shared" si="52"/>
        <v>43.045732336906724</v>
      </c>
      <c r="K301" s="516"/>
      <c r="L301" s="516"/>
      <c r="M301" s="516"/>
      <c r="N301" s="516"/>
      <c r="O301" s="516"/>
      <c r="P301" s="516"/>
      <c r="Q301" s="417"/>
      <c r="R301" s="417"/>
      <c r="S301" s="417"/>
      <c r="T301" s="417"/>
      <c r="AD301" s="413"/>
      <c r="AE301" s="413"/>
    </row>
    <row r="302" spans="4:31" ht="14.25">
      <c r="D302" s="517">
        <f t="shared" si="48"/>
        <v>14</v>
      </c>
      <c r="E302" s="500">
        <f t="shared" si="48"/>
        <v>0.04168458797159317</v>
      </c>
      <c r="F302" s="520">
        <f>P135</f>
        <v>27.426757890370308</v>
      </c>
      <c r="G302" s="520">
        <f t="shared" si="49"/>
        <v>31.314907296892546</v>
      </c>
      <c r="H302" s="520">
        <f t="shared" si="50"/>
        <v>32.144831402685426</v>
      </c>
      <c r="I302" s="520">
        <f t="shared" si="51"/>
        <v>33.69114111629245</v>
      </c>
      <c r="J302" s="520">
        <f t="shared" si="52"/>
        <v>35.061085152987665</v>
      </c>
      <c r="K302" s="516"/>
      <c r="L302" s="516"/>
      <c r="M302" s="516"/>
      <c r="N302" s="516"/>
      <c r="O302" s="516"/>
      <c r="P302" s="516"/>
      <c r="Q302" s="417"/>
      <c r="R302" s="417"/>
      <c r="S302" s="417"/>
      <c r="T302" s="417"/>
      <c r="AD302" s="413"/>
      <c r="AE302" s="413"/>
    </row>
    <row r="303" spans="4:31" ht="14.25">
      <c r="D303" s="517">
        <f t="shared" si="48"/>
        <v>15</v>
      </c>
      <c r="E303" s="500">
        <f t="shared" si="48"/>
        <v>0.03313228039521844</v>
      </c>
      <c r="F303" s="520">
        <f>P136</f>
        <v>22.269180546103275</v>
      </c>
      <c r="G303" s="520">
        <f t="shared" si="49"/>
        <v>25.40900281268738</v>
      </c>
      <c r="H303" s="520">
        <f t="shared" si="50"/>
        <v>26.07919675702816</v>
      </c>
      <c r="I303" s="520">
        <f t="shared" si="51"/>
        <v>27.32789817309882</v>
      </c>
      <c r="J303" s="520">
        <f t="shared" si="52"/>
        <v>28.434177881171337</v>
      </c>
      <c r="K303" s="516"/>
      <c r="L303" s="516"/>
      <c r="M303" s="516"/>
      <c r="N303" s="516"/>
      <c r="O303" s="516"/>
      <c r="P303" s="516"/>
      <c r="Q303" s="417"/>
      <c r="R303" s="417"/>
      <c r="S303" s="417"/>
      <c r="T303" s="417"/>
      <c r="AD303" s="413"/>
      <c r="AE303" s="413"/>
    </row>
    <row r="304" spans="4:31" ht="14.25">
      <c r="D304" s="517">
        <f t="shared" si="48"/>
        <v>16</v>
      </c>
      <c r="E304" s="500">
        <f t="shared" si="48"/>
        <v>0.026334625280102514</v>
      </c>
      <c r="F304" s="520">
        <f>P137</f>
        <v>17.829342621002887</v>
      </c>
      <c r="G304" s="520">
        <f t="shared" si="49"/>
        <v>20.324976542070015</v>
      </c>
      <c r="H304" s="520">
        <f t="shared" si="50"/>
        <v>20.857668713531762</v>
      </c>
      <c r="I304" s="520">
        <f t="shared" si="51"/>
        <v>21.850177634943037</v>
      </c>
      <c r="J304" s="520">
        <f t="shared" si="52"/>
        <v>22.729485102450635</v>
      </c>
      <c r="K304" s="516"/>
      <c r="L304" s="516"/>
      <c r="M304" s="516"/>
      <c r="N304" s="516"/>
      <c r="O304" s="516"/>
      <c r="P304" s="516"/>
      <c r="Q304" s="417"/>
      <c r="R304" s="417"/>
      <c r="S304" s="417"/>
      <c r="T304" s="417"/>
      <c r="AD304" s="413"/>
      <c r="AE304" s="413"/>
    </row>
    <row r="305" spans="4:31" ht="14.25">
      <c r="D305" s="517">
        <f t="shared" si="48"/>
        <v>17</v>
      </c>
      <c r="E305" s="500">
        <f t="shared" si="48"/>
        <v>0.020931625604119333</v>
      </c>
      <c r="F305" s="520">
        <f>P138</f>
        <v>14.300413532295178</v>
      </c>
      <c r="G305" s="520">
        <f t="shared" si="49"/>
        <v>16.28402538646446</v>
      </c>
      <c r="H305" s="520">
        <f t="shared" si="50"/>
        <v>16.707426630138396</v>
      </c>
      <c r="I305" s="520">
        <f t="shared" si="51"/>
        <v>17.496305337572522</v>
      </c>
      <c r="J305" s="520">
        <f t="shared" si="52"/>
        <v>18.195207809318784</v>
      </c>
      <c r="K305" s="516"/>
      <c r="L305" s="516"/>
      <c r="M305" s="516"/>
      <c r="N305" s="516"/>
      <c r="O305" s="516"/>
      <c r="P305" s="516"/>
      <c r="Q305" s="417"/>
      <c r="R305" s="417"/>
      <c r="S305" s="417"/>
      <c r="T305" s="417"/>
      <c r="AD305" s="413"/>
      <c r="AE305" s="413"/>
    </row>
    <row r="306" spans="4:31" ht="14.25">
      <c r="D306" s="517">
        <f t="shared" si="48"/>
        <v>18</v>
      </c>
      <c r="E306" s="500">
        <f t="shared" si="48"/>
        <v>0.01663714390354593</v>
      </c>
      <c r="F306" s="520">
        <f>P139</f>
        <v>11.495504721835422</v>
      </c>
      <c r="G306" s="520">
        <f t="shared" si="49"/>
        <v>13.072144610717212</v>
      </c>
      <c r="H306" s="520">
        <f t="shared" si="50"/>
        <v>13.408677833371327</v>
      </c>
      <c r="I306" s="520">
        <f t="shared" si="51"/>
        <v>14.03570455486217</v>
      </c>
      <c r="J306" s="520">
        <f t="shared" si="52"/>
        <v>14.591215207350535</v>
      </c>
      <c r="K306" s="516"/>
      <c r="L306" s="516"/>
      <c r="M306" s="516"/>
      <c r="N306" s="516"/>
      <c r="O306" s="516"/>
      <c r="P306" s="516"/>
      <c r="Q306" s="417"/>
      <c r="R306" s="417"/>
      <c r="S306" s="417"/>
      <c r="T306" s="417"/>
      <c r="AD306" s="413"/>
      <c r="AE306" s="413"/>
    </row>
    <row r="307" spans="4:31" ht="14.25">
      <c r="D307" s="517">
        <f t="shared" si="48"/>
        <v>19</v>
      </c>
      <c r="E307" s="500">
        <f t="shared" si="48"/>
        <v>0.013223748718915672</v>
      </c>
      <c r="F307" s="520">
        <f>P140</f>
        <v>9.266071021914906</v>
      </c>
      <c r="G307" s="520">
        <f t="shared" si="49"/>
        <v>10.519236218517449</v>
      </c>
      <c r="H307" s="520">
        <f t="shared" si="50"/>
        <v>10.786723883332105</v>
      </c>
      <c r="I307" s="520">
        <f t="shared" si="51"/>
        <v>11.285105327473682</v>
      </c>
      <c r="J307" s="520">
        <f t="shared" si="52"/>
        <v>11.726643449748464</v>
      </c>
      <c r="K307" s="516"/>
      <c r="L307" s="516"/>
      <c r="M307" s="516"/>
      <c r="N307" s="516"/>
      <c r="O307" s="516"/>
      <c r="P307" s="516"/>
      <c r="Q307" s="417"/>
      <c r="R307" s="417"/>
      <c r="S307" s="417"/>
      <c r="T307" s="417"/>
      <c r="AD307" s="413"/>
      <c r="AE307" s="413"/>
    </row>
    <row r="308" spans="4:31" ht="14.25">
      <c r="D308" s="517">
        <f t="shared" si="48"/>
        <v>20</v>
      </c>
      <c r="E308" s="500">
        <f t="shared" si="48"/>
        <v>0.010510670052192892</v>
      </c>
      <c r="F308" s="520">
        <f>P141</f>
        <v>7.49404385161749</v>
      </c>
      <c r="G308" s="520">
        <f t="shared" si="49"/>
        <v>8.49010073248817</v>
      </c>
      <c r="H308" s="520">
        <f t="shared" si="50"/>
        <v>8.7027087188965</v>
      </c>
      <c r="I308" s="520">
        <f t="shared" si="51"/>
        <v>9.098838668947234</v>
      </c>
      <c r="J308" s="520">
        <f t="shared" si="52"/>
        <v>9.44978767874327</v>
      </c>
      <c r="K308" s="516"/>
      <c r="L308" s="516"/>
      <c r="M308" s="516"/>
      <c r="N308" s="516"/>
      <c r="O308" s="516"/>
      <c r="P308" s="516"/>
      <c r="Q308" s="417"/>
      <c r="R308" s="417"/>
      <c r="S308" s="417"/>
      <c r="T308" s="417"/>
      <c r="AD308" s="413"/>
      <c r="AE308" s="413"/>
    </row>
    <row r="309" spans="4:31" ht="14.25">
      <c r="D309" s="517">
        <f t="shared" si="48"/>
        <v>21</v>
      </c>
      <c r="E309" s="500">
        <f t="shared" si="48"/>
        <v>0.008354225968317048</v>
      </c>
      <c r="F309" s="520">
        <f>P142</f>
        <v>6.085578422758043</v>
      </c>
      <c r="G309" s="520">
        <f t="shared" si="49"/>
        <v>6.8772771649666415</v>
      </c>
      <c r="H309" s="520">
        <f t="shared" si="50"/>
        <v>7.046264979473625</v>
      </c>
      <c r="I309" s="520">
        <f t="shared" si="51"/>
        <v>7.361122081742907</v>
      </c>
      <c r="J309" s="520">
        <f t="shared" si="52"/>
        <v>7.64006788792217</v>
      </c>
      <c r="K309" s="516"/>
      <c r="L309" s="516"/>
      <c r="M309" s="516"/>
      <c r="N309" s="516"/>
      <c r="O309" s="516"/>
      <c r="P309" s="516"/>
      <c r="Q309" s="417"/>
      <c r="R309" s="417"/>
      <c r="S309" s="417"/>
      <c r="T309" s="417"/>
      <c r="AD309" s="413"/>
      <c r="AE309" s="413"/>
    </row>
    <row r="310" spans="4:31" ht="14.25">
      <c r="D310" s="517">
        <f t="shared" si="48"/>
        <v>22</v>
      </c>
      <c r="E310" s="500">
        <f t="shared" si="48"/>
        <v>0.00664021334350055</v>
      </c>
      <c r="F310" s="520">
        <f>P143</f>
        <v>4.966083813677485</v>
      </c>
      <c r="G310" s="520">
        <f t="shared" si="49"/>
        <v>5.595351991481534</v>
      </c>
      <c r="H310" s="520">
        <f t="shared" si="50"/>
        <v>5.729669059877078</v>
      </c>
      <c r="I310" s="520">
        <f t="shared" si="51"/>
        <v>5.979927831870239</v>
      </c>
      <c r="J310" s="520">
        <f t="shared" si="52"/>
        <v>6.201643125582626</v>
      </c>
      <c r="K310" s="516"/>
      <c r="L310" s="516"/>
      <c r="M310" s="516"/>
      <c r="N310" s="516"/>
      <c r="O310" s="516"/>
      <c r="P310" s="516"/>
      <c r="Q310" s="417"/>
      <c r="R310" s="417"/>
      <c r="S310" s="417"/>
      <c r="T310" s="417"/>
      <c r="AD310" s="413"/>
      <c r="AE310" s="413"/>
    </row>
    <row r="311" spans="4:31" ht="14.25">
      <c r="D311" s="517">
        <f t="shared" si="48"/>
        <v>23</v>
      </c>
      <c r="E311" s="500">
        <f t="shared" si="48"/>
        <v>0.005277859781914084</v>
      </c>
      <c r="F311" s="520">
        <f>P144</f>
        <v>4.076272708569065</v>
      </c>
      <c r="G311" s="520">
        <f t="shared" si="49"/>
        <v>4.576435735849075</v>
      </c>
      <c r="H311" s="520">
        <f t="shared" si="50"/>
        <v>4.683195355854858</v>
      </c>
      <c r="I311" s="520">
        <f t="shared" si="51"/>
        <v>4.882109252057717</v>
      </c>
      <c r="J311" s="520">
        <f t="shared" si="52"/>
        <v>5.058335853702264</v>
      </c>
      <c r="K311" s="516"/>
      <c r="L311" s="516"/>
      <c r="M311" s="516"/>
      <c r="N311" s="516"/>
      <c r="O311" s="516"/>
      <c r="P311" s="516"/>
      <c r="Q311" s="417"/>
      <c r="R311" s="417"/>
      <c r="S311" s="417"/>
      <c r="T311" s="417"/>
      <c r="AD311" s="413"/>
      <c r="AE311" s="413"/>
    </row>
    <row r="312" spans="4:31" ht="14.25">
      <c r="D312" s="517">
        <f t="shared" si="48"/>
        <v>24</v>
      </c>
      <c r="E312" s="500">
        <f t="shared" si="48"/>
        <v>0.004195016400310614</v>
      </c>
      <c r="F312" s="520">
        <f>P145</f>
        <v>3.3690216004779385</v>
      </c>
      <c r="G312" s="520">
        <f t="shared" si="49"/>
        <v>3.7665676113550424</v>
      </c>
      <c r="H312" s="520">
        <f t="shared" si="50"/>
        <v>3.851423665763665</v>
      </c>
      <c r="I312" s="520">
        <f t="shared" si="51"/>
        <v>4.009526967348168</v>
      </c>
      <c r="J312" s="520">
        <f t="shared" si="52"/>
        <v>4.149597661648003</v>
      </c>
      <c r="K312" s="516"/>
      <c r="L312" s="516"/>
      <c r="M312" s="516"/>
      <c r="N312" s="516"/>
      <c r="O312" s="516"/>
      <c r="P312" s="516"/>
      <c r="Q312" s="417"/>
      <c r="R312" s="417"/>
      <c r="S312" s="417"/>
      <c r="T312" s="417"/>
      <c r="AD312" s="413"/>
      <c r="AE312" s="413"/>
    </row>
    <row r="313" spans="4:12" ht="14.25">
      <c r="D313" s="529"/>
      <c r="E313" s="530"/>
      <c r="F313" s="530"/>
      <c r="G313" s="530"/>
      <c r="H313" s="530"/>
      <c r="I313" s="530"/>
      <c r="J313" s="530"/>
      <c r="K313" s="530"/>
      <c r="L313" s="530"/>
    </row>
    <row r="314" spans="4:12" ht="14.25">
      <c r="D314" s="529"/>
      <c r="E314" s="524"/>
      <c r="F314" s="531"/>
      <c r="G314" s="525"/>
      <c r="H314" s="525"/>
      <c r="I314" s="521"/>
      <c r="J314" s="521"/>
      <c r="K314" s="521"/>
      <c r="L314" s="521"/>
    </row>
    <row r="315" ht="14.25">
      <c r="D315" s="529"/>
    </row>
    <row r="316" ht="14.25">
      <c r="D316" s="529"/>
    </row>
    <row r="317" ht="14.25">
      <c r="D317" s="529"/>
    </row>
    <row r="318" ht="14.25">
      <c r="D318" s="529"/>
    </row>
    <row r="319" ht="14.25">
      <c r="D319" s="529"/>
    </row>
    <row r="320" ht="14.25">
      <c r="D320" s="529"/>
    </row>
    <row r="321" ht="14.25">
      <c r="D321" s="529"/>
    </row>
    <row r="322" ht="14.25">
      <c r="D322" s="529"/>
    </row>
    <row r="323" ht="14.25">
      <c r="D323" s="529"/>
    </row>
    <row r="324" ht="14.25">
      <c r="D324" s="529"/>
    </row>
    <row r="325" ht="14.25">
      <c r="D325" s="529"/>
    </row>
    <row r="326" ht="14.25">
      <c r="D326" s="529"/>
    </row>
    <row r="327" ht="14.25">
      <c r="D327" s="529"/>
    </row>
    <row r="328" ht="14.25">
      <c r="D328" s="529"/>
    </row>
    <row r="329" ht="14.25">
      <c r="D329" s="529"/>
    </row>
    <row r="330" ht="14.25">
      <c r="D330" s="529"/>
    </row>
    <row r="331" ht="14.25">
      <c r="D331" s="529"/>
    </row>
    <row r="332" ht="14.25">
      <c r="D332" s="529"/>
    </row>
    <row r="333" ht="14.25">
      <c r="D333" s="529"/>
    </row>
    <row r="334" ht="14.25">
      <c r="D334" s="529"/>
    </row>
    <row r="335" ht="14.25">
      <c r="D335" s="529"/>
    </row>
    <row r="336" ht="14.25">
      <c r="D336" s="529"/>
    </row>
    <row r="337" ht="14.25">
      <c r="D337" s="529"/>
    </row>
    <row r="338" ht="14.25">
      <c r="D338" s="529"/>
    </row>
    <row r="339" ht="14.25">
      <c r="D339" s="529"/>
    </row>
    <row r="340" ht="14.25">
      <c r="D340" s="529"/>
    </row>
    <row r="341" ht="14.25">
      <c r="D341" s="529"/>
    </row>
    <row r="342" ht="14.25">
      <c r="D342" s="529"/>
    </row>
    <row r="343" ht="14.25">
      <c r="D343" s="529"/>
    </row>
    <row r="344" ht="14.25">
      <c r="D344" s="529"/>
    </row>
    <row r="345" ht="14.25">
      <c r="D345" s="529"/>
    </row>
  </sheetData>
  <sheetProtection/>
  <mergeCells count="597">
    <mergeCell ref="F283:J283"/>
    <mergeCell ref="E278:F278"/>
    <mergeCell ref="M278:N278"/>
    <mergeCell ref="E279:F279"/>
    <mergeCell ref="M279:N279"/>
    <mergeCell ref="E277:F277"/>
    <mergeCell ref="B216:B217"/>
    <mergeCell ref="B249:B250"/>
    <mergeCell ref="E275:F275"/>
    <mergeCell ref="M275:N275"/>
    <mergeCell ref="E276:F276"/>
    <mergeCell ref="M276:N276"/>
    <mergeCell ref="E269:F269"/>
    <mergeCell ref="M269:N269"/>
    <mergeCell ref="E270:F270"/>
    <mergeCell ref="M270:N270"/>
    <mergeCell ref="M277:N277"/>
    <mergeCell ref="E272:F272"/>
    <mergeCell ref="M272:N272"/>
    <mergeCell ref="E273:F273"/>
    <mergeCell ref="M273:N273"/>
    <mergeCell ref="E274:F274"/>
    <mergeCell ref="M274:N274"/>
    <mergeCell ref="E271:F271"/>
    <mergeCell ref="M271:N271"/>
    <mergeCell ref="E266:F266"/>
    <mergeCell ref="M266:N266"/>
    <mergeCell ref="E267:F267"/>
    <mergeCell ref="M267:N267"/>
    <mergeCell ref="E268:F268"/>
    <mergeCell ref="M268:N268"/>
    <mergeCell ref="E263:F263"/>
    <mergeCell ref="M263:N263"/>
    <mergeCell ref="E264:F264"/>
    <mergeCell ref="M264:N264"/>
    <mergeCell ref="E265:F265"/>
    <mergeCell ref="M265:N265"/>
    <mergeCell ref="E260:F260"/>
    <mergeCell ref="M260:N260"/>
    <mergeCell ref="E261:F261"/>
    <mergeCell ref="M261:N261"/>
    <mergeCell ref="E262:F262"/>
    <mergeCell ref="M262:N262"/>
    <mergeCell ref="E257:F257"/>
    <mergeCell ref="M257:N257"/>
    <mergeCell ref="E258:F258"/>
    <mergeCell ref="M258:N258"/>
    <mergeCell ref="E259:F259"/>
    <mergeCell ref="M259:N259"/>
    <mergeCell ref="E254:F254"/>
    <mergeCell ref="M254:N254"/>
    <mergeCell ref="E255:F255"/>
    <mergeCell ref="M255:N255"/>
    <mergeCell ref="E256:F256"/>
    <mergeCell ref="M256:N256"/>
    <mergeCell ref="O249:O251"/>
    <mergeCell ref="P249:P251"/>
    <mergeCell ref="E252:F252"/>
    <mergeCell ref="M252:N252"/>
    <mergeCell ref="E253:F253"/>
    <mergeCell ref="M253:N253"/>
    <mergeCell ref="E246:F246"/>
    <mergeCell ref="M246:N246"/>
    <mergeCell ref="D249:D251"/>
    <mergeCell ref="E249:F251"/>
    <mergeCell ref="G249:L249"/>
    <mergeCell ref="M249:N251"/>
    <mergeCell ref="E243:F243"/>
    <mergeCell ref="M243:N243"/>
    <mergeCell ref="E244:F244"/>
    <mergeCell ref="M244:N244"/>
    <mergeCell ref="E245:F245"/>
    <mergeCell ref="M245:N245"/>
    <mergeCell ref="E240:F240"/>
    <mergeCell ref="M240:N240"/>
    <mergeCell ref="E241:F241"/>
    <mergeCell ref="M241:N241"/>
    <mergeCell ref="E242:F242"/>
    <mergeCell ref="M242:N242"/>
    <mergeCell ref="E237:F237"/>
    <mergeCell ref="M237:N237"/>
    <mergeCell ref="E238:F238"/>
    <mergeCell ref="M238:N238"/>
    <mergeCell ref="E239:F239"/>
    <mergeCell ref="M239:N239"/>
    <mergeCell ref="E234:F234"/>
    <mergeCell ref="M234:N234"/>
    <mergeCell ref="E235:F235"/>
    <mergeCell ref="M235:N235"/>
    <mergeCell ref="E236:F236"/>
    <mergeCell ref="M236:N236"/>
    <mergeCell ref="E231:F231"/>
    <mergeCell ref="M231:N231"/>
    <mergeCell ref="E232:F232"/>
    <mergeCell ref="M232:N232"/>
    <mergeCell ref="E233:F233"/>
    <mergeCell ref="M233:N233"/>
    <mergeCell ref="E228:F228"/>
    <mergeCell ref="M228:N228"/>
    <mergeCell ref="E229:F229"/>
    <mergeCell ref="M229:N229"/>
    <mergeCell ref="E230:F230"/>
    <mergeCell ref="M230:N230"/>
    <mergeCell ref="E225:F225"/>
    <mergeCell ref="M225:N225"/>
    <mergeCell ref="E226:F226"/>
    <mergeCell ref="M226:N226"/>
    <mergeCell ref="E227:F227"/>
    <mergeCell ref="M227:N227"/>
    <mergeCell ref="E222:F222"/>
    <mergeCell ref="M222:N222"/>
    <mergeCell ref="E223:F223"/>
    <mergeCell ref="M223:N223"/>
    <mergeCell ref="E224:F224"/>
    <mergeCell ref="M224:N224"/>
    <mergeCell ref="E219:F219"/>
    <mergeCell ref="M219:N219"/>
    <mergeCell ref="E220:F220"/>
    <mergeCell ref="M220:N220"/>
    <mergeCell ref="E221:F221"/>
    <mergeCell ref="M221:N221"/>
    <mergeCell ref="D216:D218"/>
    <mergeCell ref="E216:F218"/>
    <mergeCell ref="G216:L216"/>
    <mergeCell ref="M216:N218"/>
    <mergeCell ref="O216:O218"/>
    <mergeCell ref="P216:P218"/>
    <mergeCell ref="E212:F212"/>
    <mergeCell ref="M212:N212"/>
    <mergeCell ref="E213:F213"/>
    <mergeCell ref="M213:N213"/>
    <mergeCell ref="B150:B151"/>
    <mergeCell ref="B183:B184"/>
    <mergeCell ref="E209:F209"/>
    <mergeCell ref="M209:N209"/>
    <mergeCell ref="E210:F210"/>
    <mergeCell ref="M210:N210"/>
    <mergeCell ref="E211:F211"/>
    <mergeCell ref="M211:N211"/>
    <mergeCell ref="E206:F206"/>
    <mergeCell ref="M206:N206"/>
    <mergeCell ref="E207:F207"/>
    <mergeCell ref="M207:N207"/>
    <mergeCell ref="E208:F208"/>
    <mergeCell ref="M208:N208"/>
    <mergeCell ref="E203:F203"/>
    <mergeCell ref="M203:N203"/>
    <mergeCell ref="E204:F204"/>
    <mergeCell ref="M204:N204"/>
    <mergeCell ref="E205:F205"/>
    <mergeCell ref="M205:N205"/>
    <mergeCell ref="E200:F200"/>
    <mergeCell ref="M200:N200"/>
    <mergeCell ref="E201:F201"/>
    <mergeCell ref="M201:N201"/>
    <mergeCell ref="E202:F202"/>
    <mergeCell ref="M202:N202"/>
    <mergeCell ref="E197:F197"/>
    <mergeCell ref="M197:N197"/>
    <mergeCell ref="E198:F198"/>
    <mergeCell ref="M198:N198"/>
    <mergeCell ref="E199:F199"/>
    <mergeCell ref="M199:N199"/>
    <mergeCell ref="E194:F194"/>
    <mergeCell ref="M194:N194"/>
    <mergeCell ref="E195:F195"/>
    <mergeCell ref="M195:N195"/>
    <mergeCell ref="E196:F196"/>
    <mergeCell ref="M196:N196"/>
    <mergeCell ref="E191:F191"/>
    <mergeCell ref="M191:N191"/>
    <mergeCell ref="E192:F192"/>
    <mergeCell ref="M192:N192"/>
    <mergeCell ref="E193:F193"/>
    <mergeCell ref="M193:N193"/>
    <mergeCell ref="E188:F188"/>
    <mergeCell ref="M188:N188"/>
    <mergeCell ref="E189:F189"/>
    <mergeCell ref="M189:N189"/>
    <mergeCell ref="E190:F190"/>
    <mergeCell ref="M190:N190"/>
    <mergeCell ref="O183:O185"/>
    <mergeCell ref="P183:P185"/>
    <mergeCell ref="E186:F186"/>
    <mergeCell ref="M186:N186"/>
    <mergeCell ref="E187:F187"/>
    <mergeCell ref="M187:N187"/>
    <mergeCell ref="E180:F180"/>
    <mergeCell ref="M180:N180"/>
    <mergeCell ref="D183:D185"/>
    <mergeCell ref="E183:F185"/>
    <mergeCell ref="G183:L183"/>
    <mergeCell ref="M183:N185"/>
    <mergeCell ref="E177:F177"/>
    <mergeCell ref="M177:N177"/>
    <mergeCell ref="E178:F178"/>
    <mergeCell ref="M178:N178"/>
    <mergeCell ref="E179:F179"/>
    <mergeCell ref="M179:N179"/>
    <mergeCell ref="E174:F174"/>
    <mergeCell ref="M174:N174"/>
    <mergeCell ref="E175:F175"/>
    <mergeCell ref="M175:N175"/>
    <mergeCell ref="E176:F176"/>
    <mergeCell ref="M176:N176"/>
    <mergeCell ref="E171:F171"/>
    <mergeCell ref="M171:N171"/>
    <mergeCell ref="E172:F172"/>
    <mergeCell ref="M172:N172"/>
    <mergeCell ref="E173:F173"/>
    <mergeCell ref="M173:N173"/>
    <mergeCell ref="E168:F168"/>
    <mergeCell ref="M168:N168"/>
    <mergeCell ref="E169:F169"/>
    <mergeCell ref="M169:N169"/>
    <mergeCell ref="E170:F170"/>
    <mergeCell ref="M170:N170"/>
    <mergeCell ref="E165:F165"/>
    <mergeCell ref="M165:N165"/>
    <mergeCell ref="E166:F166"/>
    <mergeCell ref="M166:N166"/>
    <mergeCell ref="E167:F167"/>
    <mergeCell ref="M167:N167"/>
    <mergeCell ref="E162:F162"/>
    <mergeCell ref="M162:N162"/>
    <mergeCell ref="E163:F163"/>
    <mergeCell ref="M163:N163"/>
    <mergeCell ref="E164:F164"/>
    <mergeCell ref="M164:N164"/>
    <mergeCell ref="E159:F159"/>
    <mergeCell ref="M159:N159"/>
    <mergeCell ref="E160:F160"/>
    <mergeCell ref="M160:N160"/>
    <mergeCell ref="E161:F161"/>
    <mergeCell ref="M161:N161"/>
    <mergeCell ref="E156:F156"/>
    <mergeCell ref="M156:N156"/>
    <mergeCell ref="E157:F157"/>
    <mergeCell ref="M157:N157"/>
    <mergeCell ref="E158:F158"/>
    <mergeCell ref="M158:N158"/>
    <mergeCell ref="E153:F153"/>
    <mergeCell ref="M153:N153"/>
    <mergeCell ref="E154:F154"/>
    <mergeCell ref="M154:N154"/>
    <mergeCell ref="E155:F155"/>
    <mergeCell ref="M155:N155"/>
    <mergeCell ref="D150:D152"/>
    <mergeCell ref="E150:F152"/>
    <mergeCell ref="G150:L150"/>
    <mergeCell ref="M150:N152"/>
    <mergeCell ref="O150:O152"/>
    <mergeCell ref="P150:P152"/>
    <mergeCell ref="B114:B115"/>
    <mergeCell ref="E121:F121"/>
    <mergeCell ref="M121:N121"/>
    <mergeCell ref="D115:D117"/>
    <mergeCell ref="E115:F117"/>
    <mergeCell ref="O115:O117"/>
    <mergeCell ref="P115:P117"/>
    <mergeCell ref="E118:F118"/>
    <mergeCell ref="E145:F145"/>
    <mergeCell ref="M145:N145"/>
    <mergeCell ref="E120:F120"/>
    <mergeCell ref="M120:N120"/>
    <mergeCell ref="G115:L115"/>
    <mergeCell ref="M115:N117"/>
    <mergeCell ref="E127:F127"/>
    <mergeCell ref="M127:N127"/>
    <mergeCell ref="E122:F122"/>
    <mergeCell ref="M122:N122"/>
    <mergeCell ref="E123:F123"/>
    <mergeCell ref="M123:N123"/>
    <mergeCell ref="E124:F124"/>
    <mergeCell ref="M124:N124"/>
    <mergeCell ref="E125:F125"/>
    <mergeCell ref="M125:N125"/>
    <mergeCell ref="E126:F126"/>
    <mergeCell ref="M126:N126"/>
    <mergeCell ref="M118:N118"/>
    <mergeCell ref="E119:F119"/>
    <mergeCell ref="M119:N119"/>
    <mergeCell ref="R71:T71"/>
    <mergeCell ref="R72:T72"/>
    <mergeCell ref="R73:T73"/>
    <mergeCell ref="R74:T74"/>
    <mergeCell ref="E128:F128"/>
    <mergeCell ref="M128:N128"/>
    <mergeCell ref="I11:J11"/>
    <mergeCell ref="I12:J12"/>
    <mergeCell ref="R75:T75"/>
    <mergeCell ref="R76:T76"/>
    <mergeCell ref="R77:T77"/>
    <mergeCell ref="R78:T78"/>
    <mergeCell ref="N34:N35"/>
    <mergeCell ref="J45:K46"/>
    <mergeCell ref="L45:L46"/>
    <mergeCell ref="I69:K69"/>
    <mergeCell ref="R79:T79"/>
    <mergeCell ref="R80:T80"/>
    <mergeCell ref="R81:T81"/>
    <mergeCell ref="R82:T82"/>
    <mergeCell ref="R83:T83"/>
    <mergeCell ref="R84:T84"/>
    <mergeCell ref="R96:T96"/>
    <mergeCell ref="R85:T85"/>
    <mergeCell ref="R86:T86"/>
    <mergeCell ref="R87:T87"/>
    <mergeCell ref="R88:T88"/>
    <mergeCell ref="R89:T89"/>
    <mergeCell ref="R90:T90"/>
    <mergeCell ref="D87:E87"/>
    <mergeCell ref="D88:E88"/>
    <mergeCell ref="D89:E89"/>
    <mergeCell ref="D90:E90"/>
    <mergeCell ref="R91:T91"/>
    <mergeCell ref="R92:T92"/>
    <mergeCell ref="R93:T93"/>
    <mergeCell ref="R94:T94"/>
    <mergeCell ref="R95:T95"/>
    <mergeCell ref="D78:E78"/>
    <mergeCell ref="F78:H78"/>
    <mergeCell ref="I78:K78"/>
    <mergeCell ref="L78:N78"/>
    <mergeCell ref="O78:Q78"/>
    <mergeCell ref="D79:E79"/>
    <mergeCell ref="E63:F63"/>
    <mergeCell ref="E52:F52"/>
    <mergeCell ref="D67:E67"/>
    <mergeCell ref="I10:J10"/>
    <mergeCell ref="I50:J50"/>
    <mergeCell ref="Q60:R60"/>
    <mergeCell ref="H55:I55"/>
    <mergeCell ref="C7:G7"/>
    <mergeCell ref="C8:G8"/>
    <mergeCell ref="C9:G9"/>
    <mergeCell ref="C10:G10"/>
    <mergeCell ref="I7:J7"/>
    <mergeCell ref="I8:J8"/>
    <mergeCell ref="I9:J9"/>
    <mergeCell ref="E46:I46"/>
    <mergeCell ref="M34:M35"/>
    <mergeCell ref="L34:L35"/>
    <mergeCell ref="E58:F58"/>
    <mergeCell ref="E55:F55"/>
    <mergeCell ref="E56:F56"/>
    <mergeCell ref="L69:N69"/>
    <mergeCell ref="L70:N70"/>
    <mergeCell ref="D68:E68"/>
    <mergeCell ref="D69:E69"/>
    <mergeCell ref="D70:E70"/>
    <mergeCell ref="F67:H67"/>
    <mergeCell ref="F68:H68"/>
    <mergeCell ref="F69:H69"/>
    <mergeCell ref="F70:H70"/>
    <mergeCell ref="O68:Q68"/>
    <mergeCell ref="O69:Q69"/>
    <mergeCell ref="O70:Q70"/>
    <mergeCell ref="R67:T68"/>
    <mergeCell ref="R69:T69"/>
    <mergeCell ref="R70:T70"/>
    <mergeCell ref="I67:Q67"/>
    <mergeCell ref="I68:K68"/>
    <mergeCell ref="I70:K70"/>
    <mergeCell ref="L68:N68"/>
    <mergeCell ref="D71:E71"/>
    <mergeCell ref="D72:E72"/>
    <mergeCell ref="D73:E73"/>
    <mergeCell ref="D74:E74"/>
    <mergeCell ref="D75:E75"/>
    <mergeCell ref="D77:E77"/>
    <mergeCell ref="D76:E76"/>
    <mergeCell ref="D80:E80"/>
    <mergeCell ref="D81:E81"/>
    <mergeCell ref="D82:E82"/>
    <mergeCell ref="D84:E84"/>
    <mergeCell ref="D85:E85"/>
    <mergeCell ref="D86:E86"/>
    <mergeCell ref="D83:E83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F71:H71"/>
    <mergeCell ref="F72:H72"/>
    <mergeCell ref="F73:H73"/>
    <mergeCell ref="F74:H74"/>
    <mergeCell ref="F76:H76"/>
    <mergeCell ref="F77:H77"/>
    <mergeCell ref="F75:H75"/>
    <mergeCell ref="F79:H79"/>
    <mergeCell ref="F80:H80"/>
    <mergeCell ref="F81:H81"/>
    <mergeCell ref="F82:H82"/>
    <mergeCell ref="F84:H84"/>
    <mergeCell ref="F85:H85"/>
    <mergeCell ref="F86:H86"/>
    <mergeCell ref="F87:H87"/>
    <mergeCell ref="F83:H83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I71:K71"/>
    <mergeCell ref="I72:K72"/>
    <mergeCell ref="I73:K73"/>
    <mergeCell ref="I74:K74"/>
    <mergeCell ref="I75:K75"/>
    <mergeCell ref="I77:K77"/>
    <mergeCell ref="I76:K76"/>
    <mergeCell ref="I79:K79"/>
    <mergeCell ref="I80:K80"/>
    <mergeCell ref="I81:K81"/>
    <mergeCell ref="I82:K82"/>
    <mergeCell ref="I84:K84"/>
    <mergeCell ref="I83:K83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L71:N71"/>
    <mergeCell ref="L72:N72"/>
    <mergeCell ref="L73:N73"/>
    <mergeCell ref="L74:N74"/>
    <mergeCell ref="L75:N75"/>
    <mergeCell ref="L77:N77"/>
    <mergeCell ref="L76:N76"/>
    <mergeCell ref="L79:N79"/>
    <mergeCell ref="L80:N80"/>
    <mergeCell ref="L81:N81"/>
    <mergeCell ref="L82:N82"/>
    <mergeCell ref="L84:N84"/>
    <mergeCell ref="L85:N85"/>
    <mergeCell ref="L86:N86"/>
    <mergeCell ref="L87:N87"/>
    <mergeCell ref="L83:N83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O71:Q71"/>
    <mergeCell ref="O72:Q72"/>
    <mergeCell ref="O73:Q73"/>
    <mergeCell ref="O74:Q74"/>
    <mergeCell ref="O75:Q75"/>
    <mergeCell ref="O77:Q77"/>
    <mergeCell ref="O76:Q76"/>
    <mergeCell ref="O79:Q79"/>
    <mergeCell ref="O80:Q80"/>
    <mergeCell ref="O81:Q81"/>
    <mergeCell ref="O82:Q82"/>
    <mergeCell ref="O84:Q84"/>
    <mergeCell ref="O83:Q83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101:Q101"/>
    <mergeCell ref="O102:Q102"/>
    <mergeCell ref="O103:Q103"/>
    <mergeCell ref="O104:Q104"/>
    <mergeCell ref="O105:Q105"/>
    <mergeCell ref="O106:Q106"/>
    <mergeCell ref="O107:Q107"/>
    <mergeCell ref="O108:Q108"/>
    <mergeCell ref="O109:Q109"/>
    <mergeCell ref="R97:T97"/>
    <mergeCell ref="R103:T103"/>
    <mergeCell ref="R98:T98"/>
    <mergeCell ref="R99:T99"/>
    <mergeCell ref="R100:T100"/>
    <mergeCell ref="R101:T101"/>
    <mergeCell ref="R102:T102"/>
    <mergeCell ref="E129:F129"/>
    <mergeCell ref="M129:N129"/>
    <mergeCell ref="E130:F130"/>
    <mergeCell ref="M130:N130"/>
    <mergeCell ref="E131:F131"/>
    <mergeCell ref="M131:N131"/>
    <mergeCell ref="E132:F132"/>
    <mergeCell ref="M132:N132"/>
    <mergeCell ref="E133:F133"/>
    <mergeCell ref="M133:N133"/>
    <mergeCell ref="E134:F134"/>
    <mergeCell ref="M134:N134"/>
    <mergeCell ref="M139:N139"/>
    <mergeCell ref="E140:F140"/>
    <mergeCell ref="M140:N140"/>
    <mergeCell ref="E135:F135"/>
    <mergeCell ref="M135:N135"/>
    <mergeCell ref="E136:F136"/>
    <mergeCell ref="M136:N136"/>
    <mergeCell ref="E137:F137"/>
    <mergeCell ref="M137:N137"/>
    <mergeCell ref="R109:T109"/>
    <mergeCell ref="E141:F141"/>
    <mergeCell ref="M141:N141"/>
    <mergeCell ref="E142:F142"/>
    <mergeCell ref="M142:N142"/>
    <mergeCell ref="E143:F143"/>
    <mergeCell ref="M143:N143"/>
    <mergeCell ref="E138:F138"/>
    <mergeCell ref="M138:N138"/>
    <mergeCell ref="E139:F139"/>
    <mergeCell ref="D283:D284"/>
    <mergeCell ref="E283:E284"/>
    <mergeCell ref="E144:F144"/>
    <mergeCell ref="M144:N144"/>
    <mergeCell ref="R104:T104"/>
    <mergeCell ref="R105:T105"/>
    <mergeCell ref="R106:T106"/>
    <mergeCell ref="R107:T107"/>
    <mergeCell ref="R108:T108"/>
  </mergeCells>
  <printOptions/>
  <pageMargins left="0.7" right="0.7" top="0.75" bottom="0.75" header="0.3" footer="0.3"/>
  <pageSetup horizontalDpi="500" verticalDpi="500" orientation="portrait" paperSize="9" r:id="rId2"/>
  <ignoredErrors>
    <ignoredError sqref="E62 G119 G154 G187 G220 G25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105"/>
  <sheetViews>
    <sheetView zoomScalePageLayoutView="0" workbookViewId="0" topLeftCell="A34">
      <selection activeCell="H44" sqref="H44"/>
    </sheetView>
  </sheetViews>
  <sheetFormatPr defaultColWidth="9.140625" defaultRowHeight="15"/>
  <cols>
    <col min="1" max="1" width="11.8515625" style="11" customWidth="1"/>
    <col min="2" max="2" width="9.8515625" style="11" bestFit="1" customWidth="1"/>
    <col min="3" max="3" width="12.421875" style="11" bestFit="1" customWidth="1"/>
    <col min="4" max="4" width="14.421875" style="11" bestFit="1" customWidth="1"/>
    <col min="5" max="5" width="10.00390625" style="11" bestFit="1" customWidth="1"/>
    <col min="6" max="7" width="9.421875" style="0" bestFit="1" customWidth="1"/>
    <col min="8" max="8" width="9.7109375" style="0" customWidth="1"/>
    <col min="9" max="9" width="9.28125" style="0" bestFit="1" customWidth="1"/>
  </cols>
  <sheetData>
    <row r="1" spans="1:5" ht="15">
      <c r="A1" s="258" t="s">
        <v>59</v>
      </c>
      <c r="B1" s="258" t="s">
        <v>57</v>
      </c>
      <c r="C1" s="258" t="s">
        <v>58</v>
      </c>
      <c r="D1" s="258" t="s">
        <v>142</v>
      </c>
      <c r="E1" s="258" t="s">
        <v>91</v>
      </c>
    </row>
    <row r="2" spans="1:5" ht="15">
      <c r="A2" s="258" t="s">
        <v>418</v>
      </c>
      <c r="B2" s="259">
        <f>Rekap!C4</f>
        <v>481.8753303527821</v>
      </c>
      <c r="C2" s="259">
        <f>Rekap!D4</f>
        <v>469.8129593453402</v>
      </c>
      <c r="D2" s="259">
        <f>Rekap!E4</f>
        <v>471.53064833279035</v>
      </c>
      <c r="E2" s="259">
        <f>Rekap!F4</f>
        <v>503.7760446386155</v>
      </c>
    </row>
    <row r="3" spans="1:5" ht="15">
      <c r="A3" s="258" t="s">
        <v>420</v>
      </c>
      <c r="B3" s="259">
        <f>Rekap!C5</f>
        <v>562.042311641146</v>
      </c>
      <c r="C3" s="259">
        <f>Rekap!D5</f>
        <v>563.8605167200628</v>
      </c>
      <c r="D3" s="259">
        <f>Rekap!E5</f>
        <v>539.9463322686355</v>
      </c>
      <c r="E3" s="259">
        <f>Rekap!F5</f>
        <v>658.9539432071433</v>
      </c>
    </row>
    <row r="4" spans="1:5" ht="15">
      <c r="A4" s="258" t="s">
        <v>421</v>
      </c>
      <c r="B4" s="259">
        <f>Rekap!C6</f>
        <v>568.8565050506569</v>
      </c>
      <c r="C4" s="259">
        <f>Rekap!D6</f>
        <v>572.6742475641394</v>
      </c>
      <c r="D4" s="259">
        <f>Rekap!E6</f>
        <v>554.549635633835</v>
      </c>
      <c r="E4" s="259">
        <f>Rekap!F6</f>
        <v>683.0563791357743</v>
      </c>
    </row>
    <row r="5" spans="1:5" ht="15">
      <c r="A5" s="258" t="s">
        <v>422</v>
      </c>
      <c r="B5" s="259">
        <f>Rekap!C7</f>
        <v>603.1278895514324</v>
      </c>
      <c r="C5" s="259">
        <f>Rekap!D7</f>
        <v>619.1353698911183</v>
      </c>
      <c r="D5" s="259">
        <f>Rekap!E7</f>
        <v>581.7584245902478</v>
      </c>
      <c r="E5" s="259">
        <f>Rekap!F7</f>
        <v>757.294836560432</v>
      </c>
    </row>
    <row r="6" spans="1:5" ht="15">
      <c r="A6" s="258" t="s">
        <v>423</v>
      </c>
      <c r="B6" s="259">
        <f>Rekap!C8</f>
        <v>631.1863330023598</v>
      </c>
      <c r="C6" s="259">
        <f>Rekap!D8</f>
        <v>659.9666007085285</v>
      </c>
      <c r="D6" s="259">
        <f>Rekap!E8</f>
        <v>605.8638918511289</v>
      </c>
      <c r="E6" s="259">
        <f>Rekap!F8</f>
        <v>830.9951047414996</v>
      </c>
    </row>
    <row r="7" spans="1:5" ht="15">
      <c r="A7" s="260"/>
      <c r="B7" s="261"/>
      <c r="C7" s="261"/>
      <c r="D7" s="261"/>
      <c r="E7" s="261"/>
    </row>
    <row r="8" spans="1:5" ht="15">
      <c r="A8" s="260"/>
      <c r="B8" s="261"/>
      <c r="C8" s="261"/>
      <c r="D8" s="261"/>
      <c r="E8" s="261"/>
    </row>
    <row r="9" spans="1:5" ht="15">
      <c r="A9" s="260"/>
      <c r="B9" s="261"/>
      <c r="C9" s="261"/>
      <c r="D9" s="261"/>
      <c r="E9" s="261"/>
    </row>
    <row r="10" spans="1:5" ht="15">
      <c r="A10" s="260"/>
      <c r="B10" s="261"/>
      <c r="C10" s="261"/>
      <c r="D10" s="261"/>
      <c r="E10" s="261"/>
    </row>
    <row r="11" spans="1:5" ht="15">
      <c r="A11" s="260"/>
      <c r="B11" s="261"/>
      <c r="C11" s="261"/>
      <c r="D11" s="261"/>
      <c r="E11" s="261"/>
    </row>
    <row r="12" spans="1:5" ht="15">
      <c r="A12" s="260"/>
      <c r="B12" s="261"/>
      <c r="C12" s="261"/>
      <c r="D12" s="261"/>
      <c r="E12" s="261"/>
    </row>
    <row r="13" spans="1:5" ht="15">
      <c r="A13" s="260"/>
      <c r="B13" s="261"/>
      <c r="C13" s="261"/>
      <c r="D13" s="261"/>
      <c r="E13" s="261"/>
    </row>
    <row r="14" spans="1:5" ht="15">
      <c r="A14" s="260"/>
      <c r="B14" s="261"/>
      <c r="C14" s="261"/>
      <c r="D14" s="261"/>
      <c r="E14" s="261"/>
    </row>
    <row r="15" ht="15">
      <c r="A15" s="258"/>
    </row>
    <row r="20" spans="1:5" ht="15">
      <c r="A20" s="1" t="s">
        <v>288</v>
      </c>
      <c r="B20" s="260"/>
      <c r="C20" s="260"/>
      <c r="D20" s="269" t="s">
        <v>292</v>
      </c>
      <c r="E20" t="s">
        <v>416</v>
      </c>
    </row>
    <row r="21" spans="1:5" ht="15">
      <c r="A21" s="1" t="s">
        <v>293</v>
      </c>
      <c r="B21" s="260"/>
      <c r="C21" s="260"/>
      <c r="D21" s="270">
        <v>1733.3636282999998</v>
      </c>
      <c r="E21" s="271">
        <f>D21/$D$34</f>
        <v>0.22772384312377025</v>
      </c>
    </row>
    <row r="22" spans="1:5" ht="15">
      <c r="A22" s="1" t="s">
        <v>294</v>
      </c>
      <c r="B22" s="260"/>
      <c r="C22" s="260"/>
      <c r="D22" s="270">
        <v>0.277642</v>
      </c>
      <c r="E22" s="271">
        <f aca="true" t="shared" si="0" ref="E22:E33">D22/$D$34</f>
        <v>3.6475729743203716E-05</v>
      </c>
    </row>
    <row r="23" spans="1:5" ht="15">
      <c r="A23" s="1" t="s">
        <v>295</v>
      </c>
      <c r="B23" s="260"/>
      <c r="C23" s="260"/>
      <c r="D23" s="270">
        <v>1718.2097996000002</v>
      </c>
      <c r="E23" s="271">
        <f t="shared" si="0"/>
        <v>0.22573298093348207</v>
      </c>
    </row>
    <row r="24" spans="1:5" ht="15">
      <c r="A24" s="1" t="s">
        <v>296</v>
      </c>
      <c r="B24" s="260"/>
      <c r="C24" s="260"/>
      <c r="D24" s="270">
        <v>0.788154</v>
      </c>
      <c r="E24" s="271">
        <f t="shared" si="0"/>
        <v>0.00010354518516659938</v>
      </c>
    </row>
    <row r="25" spans="1:5" ht="15">
      <c r="A25" s="1" t="s">
        <v>297</v>
      </c>
      <c r="B25" s="260"/>
      <c r="C25" s="260"/>
      <c r="D25" s="270">
        <v>503.3848303699999</v>
      </c>
      <c r="E25" s="271">
        <f t="shared" si="0"/>
        <v>0.06613311037020539</v>
      </c>
    </row>
    <row r="26" spans="1:5" ht="15">
      <c r="A26" s="1" t="s">
        <v>298</v>
      </c>
      <c r="B26" s="260"/>
      <c r="C26" s="260"/>
      <c r="D26" s="270">
        <v>1181.0577737299998</v>
      </c>
      <c r="E26" s="271">
        <f t="shared" si="0"/>
        <v>0.1551636429851583</v>
      </c>
    </row>
    <row r="27" spans="1:5" ht="15">
      <c r="A27" s="1" t="s">
        <v>299</v>
      </c>
      <c r="B27" s="260"/>
      <c r="C27" s="260"/>
      <c r="D27" s="270">
        <v>574.1331580000001</v>
      </c>
      <c r="E27" s="271">
        <f t="shared" si="0"/>
        <v>0.07542780237795464</v>
      </c>
    </row>
    <row r="28" spans="1:5" ht="15">
      <c r="A28" s="1" t="s">
        <v>300</v>
      </c>
      <c r="B28" s="260"/>
      <c r="C28" s="260"/>
      <c r="D28" s="270">
        <v>17</v>
      </c>
      <c r="E28" s="271">
        <f t="shared" si="0"/>
        <v>0.002233406349307609</v>
      </c>
    </row>
    <row r="29" spans="1:5" ht="15">
      <c r="A29" s="1" t="s">
        <v>301</v>
      </c>
      <c r="B29" s="260"/>
      <c r="C29" s="260"/>
      <c r="D29" s="270">
        <v>529</v>
      </c>
      <c r="E29" s="271">
        <f t="shared" si="0"/>
        <v>0.06949835051668972</v>
      </c>
    </row>
    <row r="30" spans="1:5" ht="15">
      <c r="A30" s="1" t="s">
        <v>302</v>
      </c>
      <c r="B30" s="260"/>
      <c r="C30" s="260"/>
      <c r="D30" s="270">
        <v>411.92881900000003</v>
      </c>
      <c r="E30" s="271">
        <f t="shared" si="0"/>
        <v>0.05411790822455206</v>
      </c>
    </row>
    <row r="31" spans="1:5" ht="15">
      <c r="A31" s="1" t="s">
        <v>303</v>
      </c>
      <c r="B31" s="260"/>
      <c r="C31" s="260"/>
      <c r="D31" s="270">
        <v>472.84219299999995</v>
      </c>
      <c r="E31" s="271">
        <f t="shared" si="0"/>
        <v>0.06212051506274905</v>
      </c>
    </row>
    <row r="32" spans="1:5" ht="15">
      <c r="A32" s="1" t="s">
        <v>304</v>
      </c>
      <c r="B32" s="260"/>
      <c r="C32" s="260"/>
      <c r="D32" s="270">
        <v>38.705446</v>
      </c>
      <c r="E32" s="271">
        <f t="shared" si="0"/>
        <v>0.005084999344069577</v>
      </c>
    </row>
    <row r="33" spans="1:5" ht="15">
      <c r="A33" s="1" t="s">
        <v>305</v>
      </c>
      <c r="B33" s="260"/>
      <c r="C33" s="260"/>
      <c r="D33" s="270">
        <v>431</v>
      </c>
      <c r="E33" s="271">
        <f t="shared" si="0"/>
        <v>0.056623419797151735</v>
      </c>
    </row>
    <row r="34" ht="15">
      <c r="D34" s="162">
        <f>SUM(D21:D33)</f>
        <v>7611.691443999998</v>
      </c>
    </row>
    <row r="39" ht="15" customHeight="1"/>
    <row r="40" spans="1:8" ht="15.75">
      <c r="A40" s="275"/>
      <c r="B40" s="275"/>
      <c r="C40" s="275"/>
      <c r="D40" s="275"/>
      <c r="E40" s="275"/>
      <c r="F40" s="276"/>
      <c r="G40" s="276"/>
      <c r="H40" s="276"/>
    </row>
    <row r="41" spans="1:2" ht="15">
      <c r="A41" s="273"/>
      <c r="B41" s="274"/>
    </row>
    <row r="42" spans="1:8" ht="15">
      <c r="A42" s="273"/>
      <c r="B42" s="274"/>
      <c r="C42" s="193">
        <v>1</v>
      </c>
      <c r="D42" s="193">
        <v>2</v>
      </c>
      <c r="E42" s="193">
        <v>3</v>
      </c>
      <c r="F42" s="280">
        <v>4</v>
      </c>
      <c r="G42" s="280">
        <v>5</v>
      </c>
      <c r="H42" s="280">
        <v>6</v>
      </c>
    </row>
    <row r="43" spans="2:8" ht="15">
      <c r="B43" s="273" t="s">
        <v>418</v>
      </c>
      <c r="C43" s="274">
        <v>259.4933160698316</v>
      </c>
      <c r="D43" s="274">
        <v>70.57813776312159</v>
      </c>
      <c r="E43" s="274">
        <v>51.86837131660698</v>
      </c>
      <c r="F43" s="279">
        <v>33.0071453832953</v>
      </c>
      <c r="G43" s="279">
        <v>33.0071453832953</v>
      </c>
      <c r="H43" s="279">
        <v>23.576532416639537</v>
      </c>
    </row>
    <row r="44" spans="2:8" ht="15">
      <c r="B44" s="273" t="s">
        <v>420</v>
      </c>
      <c r="C44" s="274">
        <v>297.1439179097532</v>
      </c>
      <c r="D44" s="274">
        <v>80.8185146782916</v>
      </c>
      <c r="E44" s="274">
        <v>59.39409654954996</v>
      </c>
      <c r="F44" s="279">
        <v>37.79624325880446</v>
      </c>
      <c r="G44" s="279">
        <v>37.79624325880446</v>
      </c>
      <c r="H44" s="279">
        <v>26.9973166134318</v>
      </c>
    </row>
    <row r="45" spans="2:8" ht="15">
      <c r="B45" s="273" t="s">
        <v>421</v>
      </c>
      <c r="C45" s="274">
        <v>305.1804254606577</v>
      </c>
      <c r="D45" s="274">
        <v>83.00431948302679</v>
      </c>
      <c r="E45" s="274">
        <v>61.000459919721905</v>
      </c>
      <c r="F45" s="279">
        <v>38.818474494368424</v>
      </c>
      <c r="G45" s="279">
        <v>38.818474494368424</v>
      </c>
      <c r="H45" s="279">
        <v>27.727481781691775</v>
      </c>
    </row>
    <row r="46" spans="2:8" ht="15">
      <c r="B46" s="273" t="s">
        <v>422</v>
      </c>
      <c r="C46" s="274">
        <v>320.15399907142483</v>
      </c>
      <c r="D46" s="274">
        <v>87.07689814174866</v>
      </c>
      <c r="E46" s="274">
        <v>63.993426704927316</v>
      </c>
      <c r="F46" s="279">
        <v>40.72308972131732</v>
      </c>
      <c r="G46" s="279">
        <v>40.72308972131732</v>
      </c>
      <c r="H46" s="279">
        <v>29.087921229512418</v>
      </c>
    </row>
    <row r="47" spans="2:8" ht="15">
      <c r="B47" s="273" t="s">
        <v>423</v>
      </c>
      <c r="C47" s="274">
        <v>333.4197489374315</v>
      </c>
      <c r="D47" s="274">
        <v>90.68497535835864</v>
      </c>
      <c r="E47" s="274">
        <v>66.64502810362424</v>
      </c>
      <c r="F47" s="279">
        <v>42.41047242957899</v>
      </c>
      <c r="G47" s="279">
        <v>42.41047242957899</v>
      </c>
      <c r="H47" s="279">
        <v>30.29319459255647</v>
      </c>
    </row>
    <row r="48" spans="1:8" ht="15.75">
      <c r="A48" s="275"/>
      <c r="B48" s="277"/>
      <c r="C48" s="277"/>
      <c r="D48" s="277"/>
      <c r="E48" s="277"/>
      <c r="F48" s="278"/>
      <c r="G48" s="278"/>
      <c r="H48" s="278"/>
    </row>
    <row r="49" spans="1:8" ht="15.75">
      <c r="A49" s="275"/>
      <c r="B49" s="277"/>
      <c r="C49" s="277"/>
      <c r="D49" s="277"/>
      <c r="E49" s="277"/>
      <c r="F49" s="278"/>
      <c r="G49" s="278"/>
      <c r="H49" s="278"/>
    </row>
    <row r="50" spans="1:8" ht="15.75">
      <c r="A50" s="275"/>
      <c r="B50" s="277"/>
      <c r="C50" s="277"/>
      <c r="D50" s="277"/>
      <c r="E50" s="277"/>
      <c r="F50" s="278"/>
      <c r="G50" s="278"/>
      <c r="H50" s="278"/>
    </row>
    <row r="75" spans="1:3" ht="15">
      <c r="A75" s="11" t="s">
        <v>366</v>
      </c>
      <c r="B75" s="11" t="s">
        <v>278</v>
      </c>
      <c r="C75" s="11" t="s">
        <v>393</v>
      </c>
    </row>
    <row r="77" spans="1:9" ht="15.75">
      <c r="A77" s="275" t="s">
        <v>424</v>
      </c>
      <c r="B77" s="275" t="s">
        <v>313</v>
      </c>
      <c r="C77" s="275" t="s">
        <v>417</v>
      </c>
      <c r="D77" s="275" t="s">
        <v>418</v>
      </c>
      <c r="E77" s="275" t="s">
        <v>419</v>
      </c>
      <c r="F77" s="276" t="s">
        <v>420</v>
      </c>
      <c r="G77" s="276" t="s">
        <v>421</v>
      </c>
      <c r="H77" s="276" t="s">
        <v>422</v>
      </c>
      <c r="I77" s="276" t="s">
        <v>423</v>
      </c>
    </row>
    <row r="78" spans="1:9" ht="15.75">
      <c r="A78" s="275">
        <v>0</v>
      </c>
      <c r="B78" s="277">
        <v>0</v>
      </c>
      <c r="C78" s="277">
        <v>0.6290778117587312</v>
      </c>
      <c r="D78" s="277">
        <v>0.6290778117587312</v>
      </c>
      <c r="E78" s="277">
        <v>0.6290778117587312</v>
      </c>
      <c r="F78" s="278">
        <v>0.6290778117587312</v>
      </c>
      <c r="G78" s="278">
        <v>0.6290778117587312</v>
      </c>
      <c r="H78" s="278">
        <v>0.6290778117587312</v>
      </c>
      <c r="I78" s="278">
        <v>0.6290778117587312</v>
      </c>
    </row>
    <row r="79" spans="1:9" ht="15.75">
      <c r="A79" s="275">
        <v>1</v>
      </c>
      <c r="B79" s="277">
        <v>0.08365888449340493</v>
      </c>
      <c r="C79" s="277">
        <v>18.828857401054275</v>
      </c>
      <c r="D79" s="277">
        <v>22.33799916765539</v>
      </c>
      <c r="E79" s="277">
        <v>24.195804061612716</v>
      </c>
      <c r="F79" s="278">
        <v>25.487806518088572</v>
      </c>
      <c r="G79" s="278">
        <v>26.160131775020066</v>
      </c>
      <c r="H79" s="278">
        <v>27.41280424017673</v>
      </c>
      <c r="I79" s="278">
        <v>28.522602075935385</v>
      </c>
    </row>
    <row r="80" spans="1:9" ht="15.75">
      <c r="A80" s="275">
        <v>2</v>
      </c>
      <c r="B80" s="277">
        <v>0.4415542395819344</v>
      </c>
      <c r="C80" s="277">
        <v>101.63814678575778</v>
      </c>
      <c r="D80" s="277">
        <v>121.11393994045241</v>
      </c>
      <c r="E80" s="277">
        <v>131.42478693468414</v>
      </c>
      <c r="F80" s="278">
        <v>138.5954213151963</v>
      </c>
      <c r="G80" s="278">
        <v>142.3268372874149</v>
      </c>
      <c r="H80" s="278">
        <v>149.27918958454157</v>
      </c>
      <c r="I80" s="278">
        <v>155.43858539421797</v>
      </c>
    </row>
    <row r="81" spans="1:9" ht="15.75">
      <c r="A81" s="275">
        <v>3</v>
      </c>
      <c r="B81" s="277">
        <v>1.1684310265780802</v>
      </c>
      <c r="C81" s="277">
        <v>284.58269013668524</v>
      </c>
      <c r="D81" s="277">
        <v>339.33244553332355</v>
      </c>
      <c r="E81" s="277">
        <v>368.31798395953524</v>
      </c>
      <c r="F81" s="278">
        <v>388.47585251222785</v>
      </c>
      <c r="G81" s="278">
        <v>398.96549522610275</v>
      </c>
      <c r="H81" s="278">
        <v>418.50973584703945</v>
      </c>
      <c r="I81" s="278">
        <v>435.82484138817495</v>
      </c>
    </row>
    <row r="82" spans="1:9" ht="15.75">
      <c r="A82" s="277">
        <v>3.09392149</v>
      </c>
      <c r="B82" s="277">
        <v>1.2581556235174625</v>
      </c>
      <c r="C82" s="277">
        <v>364.98874526246396</v>
      </c>
      <c r="D82" s="277">
        <v>435.241778868881</v>
      </c>
      <c r="E82" s="277">
        <v>472.4350410196334</v>
      </c>
      <c r="F82" s="278">
        <v>498.30093588266345</v>
      </c>
      <c r="G82" s="278">
        <v>511.76089048444055</v>
      </c>
      <c r="H82" s="278">
        <v>536.8393987482214</v>
      </c>
      <c r="I82" s="278">
        <v>559.0575563028528</v>
      </c>
    </row>
    <row r="83" spans="1:9" ht="15.75">
      <c r="A83" s="275">
        <v>4</v>
      </c>
      <c r="B83" s="277">
        <v>0.8298860821192442</v>
      </c>
      <c r="C83" s="277">
        <v>320.9548872471626</v>
      </c>
      <c r="D83" s="277">
        <v>382.7176504331092</v>
      </c>
      <c r="E83" s="277">
        <v>415.41600557033036</v>
      </c>
      <c r="F83" s="278">
        <v>438.1559366026038</v>
      </c>
      <c r="G83" s="278">
        <v>449.98921903736004</v>
      </c>
      <c r="H83" s="278">
        <v>472.0369212850708</v>
      </c>
      <c r="I83" s="278">
        <v>491.5699539959802</v>
      </c>
    </row>
    <row r="84" spans="1:9" ht="15.75">
      <c r="A84" s="275">
        <v>5</v>
      </c>
      <c r="B84" s="277">
        <v>0.5242882336434767</v>
      </c>
      <c r="C84" s="277">
        <v>264.7049830391477</v>
      </c>
      <c r="D84" s="277">
        <v>315.62207156979497</v>
      </c>
      <c r="E84" s="277">
        <v>342.5785248993841</v>
      </c>
      <c r="F84" s="278">
        <v>361.3252749122549</v>
      </c>
      <c r="G84" s="278">
        <v>371.08060738539353</v>
      </c>
      <c r="H84" s="278">
        <v>389.2566854838468</v>
      </c>
      <c r="I84" s="278">
        <v>405.35967544916144</v>
      </c>
    </row>
    <row r="85" spans="1:9" ht="15.75">
      <c r="A85" s="277">
        <v>5.71554605</v>
      </c>
      <c r="B85" s="277">
        <v>0.3774466870552386</v>
      </c>
      <c r="C85" s="277">
        <v>225.72570893157842</v>
      </c>
      <c r="D85" s="277">
        <v>269.1271131028879</v>
      </c>
      <c r="E85" s="277">
        <v>292.104623399423</v>
      </c>
      <c r="F85" s="278">
        <v>308.0842345218731</v>
      </c>
      <c r="G85" s="278">
        <v>316.39961821152275</v>
      </c>
      <c r="H85" s="278">
        <v>331.8927922040897</v>
      </c>
      <c r="I85" s="278">
        <v>345.6188789859467</v>
      </c>
    </row>
    <row r="86" spans="1:9" ht="15.75">
      <c r="A86" s="275">
        <v>6</v>
      </c>
      <c r="B86" s="277">
        <v>0.3459656917135998</v>
      </c>
      <c r="C86" s="277">
        <v>201.89887465380608</v>
      </c>
      <c r="D86" s="277">
        <v>240.7061715767403</v>
      </c>
      <c r="E86" s="277">
        <v>261.25147608135524</v>
      </c>
      <c r="F86" s="278">
        <v>275.5396201030151</v>
      </c>
      <c r="G86" s="278">
        <v>282.9748072826428</v>
      </c>
      <c r="H86" s="278">
        <v>296.8280043136661</v>
      </c>
      <c r="I86" s="278">
        <v>309.1011631089664</v>
      </c>
    </row>
    <row r="87" spans="1:9" ht="15.75">
      <c r="A87" s="275">
        <v>7</v>
      </c>
      <c r="B87" s="277">
        <v>0.25472258495692024</v>
      </c>
      <c r="C87" s="277">
        <v>155.267271378918</v>
      </c>
      <c r="D87" s="277">
        <v>185.08342058533108</v>
      </c>
      <c r="E87" s="277">
        <v>200.86864432346695</v>
      </c>
      <c r="F87" s="278">
        <v>211.84641056362895</v>
      </c>
      <c r="G87" s="278">
        <v>217.55896124103452</v>
      </c>
      <c r="H87" s="278">
        <v>228.20255207095207</v>
      </c>
      <c r="I87" s="278">
        <v>237.63217904552275</v>
      </c>
    </row>
    <row r="88" spans="1:9" ht="15.75">
      <c r="A88" s="275">
        <v>8</v>
      </c>
      <c r="B88" s="277">
        <v>0.18754343809572857</v>
      </c>
      <c r="C88" s="277">
        <v>112.9001539553495</v>
      </c>
      <c r="D88" s="277">
        <v>134.54740086533135</v>
      </c>
      <c r="E88" s="277">
        <v>146.00785584974753</v>
      </c>
      <c r="F88" s="278">
        <v>153.97798018323252</v>
      </c>
      <c r="G88" s="278">
        <v>158.12543041711396</v>
      </c>
      <c r="H88" s="278">
        <v>165.8529353041128</v>
      </c>
      <c r="I88" s="278">
        <v>172.69907301205168</v>
      </c>
    </row>
    <row r="89" spans="1:9" ht="15.75">
      <c r="A89" s="275">
        <v>9</v>
      </c>
      <c r="B89" s="277">
        <v>0.13808175344449689</v>
      </c>
      <c r="C89" s="277">
        <v>83.2225240550623</v>
      </c>
      <c r="D89" s="277">
        <v>99.14755822582607</v>
      </c>
      <c r="E89" s="277">
        <v>107.57856739748989</v>
      </c>
      <c r="F89" s="278">
        <v>113.44187661569153</v>
      </c>
      <c r="G89" s="278">
        <v>116.49299378411303</v>
      </c>
      <c r="H89" s="278">
        <v>122.17781735045095</v>
      </c>
      <c r="I89" s="278">
        <v>127.2142535028195</v>
      </c>
    </row>
    <row r="90" spans="1:9" ht="15.75">
      <c r="A90" s="277">
        <v>9.64798289</v>
      </c>
      <c r="B90" s="277">
        <v>0.11323400611657154</v>
      </c>
      <c r="C90" s="277">
        <v>65.67072881319999</v>
      </c>
      <c r="D90" s="277">
        <v>78.2115605841569</v>
      </c>
      <c r="E90" s="277">
        <v>84.85091008554387</v>
      </c>
      <c r="F90" s="278">
        <v>89.46821725977652</v>
      </c>
      <c r="G90" s="278">
        <v>91.87094661736239</v>
      </c>
      <c r="H90" s="278">
        <v>96.34769782734716</v>
      </c>
      <c r="I90" s="278">
        <v>100.31384934920541</v>
      </c>
    </row>
    <row r="91" spans="1:9" ht="15.75">
      <c r="A91" s="275">
        <v>10</v>
      </c>
      <c r="B91" s="277">
        <v>0.10444129620055444</v>
      </c>
      <c r="C91" s="277">
        <v>55.13081985783658</v>
      </c>
      <c r="D91" s="277">
        <v>65.63942730706641</v>
      </c>
      <c r="E91" s="277">
        <v>71.20287946897922</v>
      </c>
      <c r="F91" s="278">
        <v>75.07195844657092</v>
      </c>
      <c r="G91" s="278">
        <v>77.08532885825962</v>
      </c>
      <c r="H91" s="278">
        <v>80.83662876984472</v>
      </c>
      <c r="I91" s="278">
        <v>84.16007096160564</v>
      </c>
    </row>
    <row r="92" spans="1:9" ht="15.75">
      <c r="A92" s="275">
        <v>11</v>
      </c>
      <c r="B92" s="277">
        <v>0.08301337446144315</v>
      </c>
      <c r="C92" s="277">
        <v>43.83737122244029</v>
      </c>
      <c r="D92" s="277">
        <v>52.168462614346936</v>
      </c>
      <c r="E92" s="277">
        <v>56.57909729066585</v>
      </c>
      <c r="F92" s="278">
        <v>59.646454285448606</v>
      </c>
      <c r="G92" s="278">
        <v>61.24262894384909</v>
      </c>
      <c r="H92" s="278">
        <v>64.21661218119586</v>
      </c>
      <c r="I92" s="278">
        <v>66.85139521682137</v>
      </c>
    </row>
    <row r="93" spans="1:9" ht="15.75">
      <c r="A93" s="275">
        <v>12</v>
      </c>
      <c r="B93" s="277">
        <v>0.06598175808008781</v>
      </c>
      <c r="C93" s="277">
        <v>35.097865155766094</v>
      </c>
      <c r="D93" s="277">
        <v>41.743872087854996</v>
      </c>
      <c r="E93" s="277">
        <v>45.26239172169359</v>
      </c>
      <c r="F93" s="278">
        <v>47.709331131135365</v>
      </c>
      <c r="G93" s="278">
        <v>48.98265623891893</v>
      </c>
      <c r="H93" s="278">
        <v>51.355108092048745</v>
      </c>
      <c r="I93" s="278">
        <v>53.45696791996139</v>
      </c>
    </row>
    <row r="94" spans="1:9" ht="15.75">
      <c r="A94" s="275">
        <v>13</v>
      </c>
      <c r="B94" s="277">
        <v>0.05244446967230958</v>
      </c>
      <c r="C94" s="277">
        <v>28.30481200589304</v>
      </c>
      <c r="D94" s="277">
        <v>33.64103458515487</v>
      </c>
      <c r="E94" s="277">
        <v>36.466130030814334</v>
      </c>
      <c r="F94" s="278">
        <v>38.4308305585408</v>
      </c>
      <c r="G94" s="278">
        <v>39.45321080284789</v>
      </c>
      <c r="H94" s="278">
        <v>41.35810366201073</v>
      </c>
      <c r="I94" s="278">
        <v>43.045732336906724</v>
      </c>
    </row>
    <row r="95" spans="1:9" ht="15.75">
      <c r="A95" s="275">
        <v>14</v>
      </c>
      <c r="B95" s="277">
        <v>0.04168458797159317</v>
      </c>
      <c r="C95" s="277">
        <v>23.095042976016536</v>
      </c>
      <c r="D95" s="277">
        <v>27.426757890370308</v>
      </c>
      <c r="E95" s="277">
        <v>29.72004830220482</v>
      </c>
      <c r="F95" s="278">
        <v>31.314907296892546</v>
      </c>
      <c r="G95" s="278">
        <v>32.144831402685426</v>
      </c>
      <c r="H95" s="278">
        <v>33.69114111629245</v>
      </c>
      <c r="I95" s="278">
        <v>35.061085152987665</v>
      </c>
    </row>
    <row r="96" spans="1:9" ht="15.75">
      <c r="A96" s="275">
        <v>15</v>
      </c>
      <c r="B96" s="277">
        <v>0.03313228039521844</v>
      </c>
      <c r="C96" s="277">
        <v>18.77116297564481</v>
      </c>
      <c r="D96" s="277">
        <v>22.269180546103275</v>
      </c>
      <c r="E96" s="277">
        <v>24.12109608379923</v>
      </c>
      <c r="F96" s="278">
        <v>25.40900281268738</v>
      </c>
      <c r="G96" s="278">
        <v>26.07919675702816</v>
      </c>
      <c r="H96" s="278">
        <v>27.32789817309882</v>
      </c>
      <c r="I96" s="278">
        <v>28.434177881171337</v>
      </c>
    </row>
    <row r="97" spans="1:9" ht="15.75">
      <c r="A97" s="275">
        <v>16</v>
      </c>
      <c r="B97" s="277">
        <v>0.026334625280102514</v>
      </c>
      <c r="C97" s="277">
        <v>15.049003301088986</v>
      </c>
      <c r="D97" s="277">
        <v>17.829342621002887</v>
      </c>
      <c r="E97" s="277">
        <v>19.301305949632113</v>
      </c>
      <c r="F97" s="278">
        <v>20.324976542070015</v>
      </c>
      <c r="G97" s="278">
        <v>20.857668713531762</v>
      </c>
      <c r="H97" s="278">
        <v>21.850177634943037</v>
      </c>
      <c r="I97" s="278">
        <v>22.729485102450635</v>
      </c>
    </row>
    <row r="98" spans="1:9" ht="15.75">
      <c r="A98" s="275">
        <v>17</v>
      </c>
      <c r="B98" s="277">
        <v>0.020931625604119333</v>
      </c>
      <c r="C98" s="277">
        <v>12.0905084708846</v>
      </c>
      <c r="D98" s="277">
        <v>14.300413532295178</v>
      </c>
      <c r="E98" s="277">
        <v>15.470378358836285</v>
      </c>
      <c r="F98" s="278">
        <v>16.28402538646446</v>
      </c>
      <c r="G98" s="278">
        <v>16.707426630138396</v>
      </c>
      <c r="H98" s="278">
        <v>17.496305337572522</v>
      </c>
      <c r="I98" s="278">
        <v>18.195207809318784</v>
      </c>
    </row>
    <row r="99" spans="1:9" ht="15.75">
      <c r="A99" s="275">
        <v>18</v>
      </c>
      <c r="B99" s="277">
        <v>0.01663714390354593</v>
      </c>
      <c r="C99" s="277">
        <v>9.73899955519291</v>
      </c>
      <c r="D99" s="277">
        <v>11.495504721835422</v>
      </c>
      <c r="E99" s="277">
        <v>12.425431214377925</v>
      </c>
      <c r="F99" s="278">
        <v>13.072144610717212</v>
      </c>
      <c r="G99" s="278">
        <v>13.408677833371327</v>
      </c>
      <c r="H99" s="278">
        <v>14.03570455486217</v>
      </c>
      <c r="I99" s="278">
        <v>14.591215207350535</v>
      </c>
    </row>
    <row r="100" spans="1:9" ht="15.75">
      <c r="A100" s="275">
        <v>19</v>
      </c>
      <c r="B100" s="277">
        <v>0.013223748718915672</v>
      </c>
      <c r="C100" s="277">
        <v>7.869942991658036</v>
      </c>
      <c r="D100" s="277">
        <v>9.266071021914906</v>
      </c>
      <c r="E100" s="277">
        <v>10.0052071582456</v>
      </c>
      <c r="F100" s="278">
        <v>10.519236218517449</v>
      </c>
      <c r="G100" s="278">
        <v>10.786723883332105</v>
      </c>
      <c r="H100" s="278">
        <v>11.285105327473682</v>
      </c>
      <c r="I100" s="278">
        <v>11.726643449748464</v>
      </c>
    </row>
    <row r="101" spans="1:9" ht="15.75">
      <c r="A101" s="275">
        <v>20</v>
      </c>
      <c r="B101" s="277">
        <v>0.010510670052192892</v>
      </c>
      <c r="C101" s="277">
        <v>6.384355412388649</v>
      </c>
      <c r="D101" s="277">
        <v>7.49404385161749</v>
      </c>
      <c r="E101" s="277">
        <v>8.081533542911444</v>
      </c>
      <c r="F101" s="278">
        <v>8.49010073248817</v>
      </c>
      <c r="G101" s="278">
        <v>8.7027087188965</v>
      </c>
      <c r="H101" s="278">
        <v>9.098838668947234</v>
      </c>
      <c r="I101" s="278">
        <v>9.44978767874327</v>
      </c>
    </row>
    <row r="102" spans="1:9" ht="15.75">
      <c r="A102" s="275">
        <v>21</v>
      </c>
      <c r="B102" s="277">
        <v>0.008354225968317048</v>
      </c>
      <c r="C102" s="277">
        <v>5.203561583706699</v>
      </c>
      <c r="D102" s="277">
        <v>6.085578422758043</v>
      </c>
      <c r="E102" s="277">
        <v>6.552534535998657</v>
      </c>
      <c r="F102" s="278">
        <v>6.8772771649666415</v>
      </c>
      <c r="G102" s="278">
        <v>7.046264979473625</v>
      </c>
      <c r="H102" s="278">
        <v>7.361122081742907</v>
      </c>
      <c r="I102" s="278">
        <v>7.64006788792217</v>
      </c>
    </row>
    <row r="103" spans="1:9" ht="15.75">
      <c r="A103" s="275">
        <v>22</v>
      </c>
      <c r="B103" s="277">
        <v>0.00664021334350055</v>
      </c>
      <c r="C103" s="277">
        <v>4.265027844390511</v>
      </c>
      <c r="D103" s="277">
        <v>4.966083813677485</v>
      </c>
      <c r="E103" s="277">
        <v>5.337235878001416</v>
      </c>
      <c r="F103" s="278">
        <v>5.595351991481534</v>
      </c>
      <c r="G103" s="278">
        <v>5.729669059877078</v>
      </c>
      <c r="H103" s="278">
        <v>5.979927831870239</v>
      </c>
      <c r="I103" s="278">
        <v>6.201643125582626</v>
      </c>
    </row>
    <row r="104" spans="1:9" ht="15.75">
      <c r="A104" s="275">
        <v>23</v>
      </c>
      <c r="B104" s="277">
        <v>0.005277859781914084</v>
      </c>
      <c r="C104" s="277">
        <v>3.5190503854652224</v>
      </c>
      <c r="D104" s="277">
        <v>4.076272708569065</v>
      </c>
      <c r="E104" s="277">
        <v>4.371276566417554</v>
      </c>
      <c r="F104" s="278">
        <v>4.576435735849075</v>
      </c>
      <c r="G104" s="278">
        <v>4.683195355854858</v>
      </c>
      <c r="H104" s="278">
        <v>4.882109252057717</v>
      </c>
      <c r="I104" s="278">
        <v>5.058335853702264</v>
      </c>
    </row>
    <row r="105" spans="1:9" ht="15.75">
      <c r="A105" s="275">
        <v>24</v>
      </c>
      <c r="B105" s="277">
        <v>0.004195016400310614</v>
      </c>
      <c r="C105" s="277">
        <v>2.926122986147556</v>
      </c>
      <c r="D105" s="277">
        <v>3.3690216004779385</v>
      </c>
      <c r="E105" s="277">
        <v>3.6035003613707666</v>
      </c>
      <c r="F105" s="278">
        <v>3.7665676113550424</v>
      </c>
      <c r="G105" s="278">
        <v>3.851423665763665</v>
      </c>
      <c r="H105" s="278">
        <v>4.009526967348168</v>
      </c>
      <c r="I105" s="278">
        <v>4.149597661648003</v>
      </c>
    </row>
  </sheetData>
  <sheetProtection/>
  <printOptions/>
  <pageMargins left="0.7" right="0.7" top="0.75" bottom="0.75" header="0.3" footer="0.3"/>
  <pageSetup horizontalDpi="500" verticalDpi="5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2019-09-06T13:13:36Z</cp:lastPrinted>
  <dcterms:created xsi:type="dcterms:W3CDTF">2019-09-06T13:10:12Z</dcterms:created>
  <dcterms:modified xsi:type="dcterms:W3CDTF">2020-11-13T15:36:22Z</dcterms:modified>
  <cp:category/>
  <cp:version/>
  <cp:contentType/>
  <cp:contentStatus/>
</cp:coreProperties>
</file>