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zis titip\UII\Research\AA\"/>
    </mc:Choice>
  </mc:AlternateContent>
  <bookViews>
    <workbookView xWindow="0" yWindow="0" windowWidth="15360" windowHeight="7755" firstSheet="1" activeTab="5"/>
  </bookViews>
  <sheets>
    <sheet name="Ch-exr of indole" sheetId="14" r:id="rId1"/>
    <sheet name="Ch-exr of biomass" sheetId="4" r:id="rId2"/>
    <sheet name="exergy steam" sheetId="9" r:id="rId3"/>
    <sheet name="ASPEN Ex steam" sheetId="13" r:id="rId4"/>
    <sheet name="exergy air" sheetId="12" r:id="rId5"/>
    <sheet name="ASPEN Ex air" sheetId="11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5" i="4" l="1"/>
  <c r="DE34" i="9" l="1"/>
  <c r="DH34" i="9"/>
  <c r="DE35" i="9"/>
  <c r="DH35" i="9"/>
  <c r="DE36" i="9"/>
  <c r="DH36" i="9"/>
  <c r="DE37" i="9"/>
  <c r="DH37" i="9"/>
  <c r="DE38" i="9"/>
  <c r="DH38" i="9"/>
  <c r="DE39" i="9"/>
  <c r="DH39" i="9"/>
  <c r="DE40" i="9"/>
  <c r="DH40" i="9"/>
  <c r="DE41" i="9"/>
  <c r="DH41" i="9"/>
  <c r="DE42" i="9"/>
  <c r="DH42" i="9"/>
  <c r="DE43" i="9"/>
  <c r="DH43" i="9"/>
  <c r="DH33" i="9"/>
  <c r="DE33" i="9"/>
  <c r="DG32" i="9"/>
  <c r="DF32" i="9"/>
  <c r="DE32" i="9"/>
  <c r="AL19" i="9"/>
  <c r="AL20" i="9"/>
  <c r="AL21" i="9"/>
  <c r="AL22" i="9"/>
  <c r="AL23" i="9"/>
  <c r="AL24" i="9"/>
  <c r="AL25" i="9"/>
  <c r="AL26" i="9"/>
  <c r="AL27" i="9"/>
  <c r="AL28" i="9"/>
  <c r="AL18" i="9"/>
  <c r="AK19" i="9"/>
  <c r="AK20" i="9"/>
  <c r="AK21" i="9"/>
  <c r="AK22" i="9"/>
  <c r="AK23" i="9"/>
  <c r="AK24" i="9"/>
  <c r="AK25" i="9"/>
  <c r="AK26" i="9"/>
  <c r="AK27" i="9"/>
  <c r="AK28" i="9"/>
  <c r="AK18" i="9"/>
  <c r="AI18" i="9"/>
  <c r="AD19" i="9"/>
  <c r="AE19" i="9"/>
  <c r="AJ19" i="9" s="1"/>
  <c r="AF19" i="9"/>
  <c r="AG19" i="9"/>
  <c r="AD20" i="9"/>
  <c r="AE20" i="9"/>
  <c r="AJ20" i="9" s="1"/>
  <c r="AF20" i="9"/>
  <c r="AG20" i="9"/>
  <c r="AD21" i="9"/>
  <c r="AE21" i="9"/>
  <c r="AJ21" i="9" s="1"/>
  <c r="AF21" i="9"/>
  <c r="AG21" i="9"/>
  <c r="AD22" i="9"/>
  <c r="AE22" i="9"/>
  <c r="AJ22" i="9" s="1"/>
  <c r="AF22" i="9"/>
  <c r="AG22" i="9"/>
  <c r="AD23" i="9"/>
  <c r="AE23" i="9"/>
  <c r="AJ23" i="9" s="1"/>
  <c r="AF23" i="9"/>
  <c r="AG23" i="9"/>
  <c r="AD24" i="9"/>
  <c r="AE24" i="9"/>
  <c r="AJ24" i="9" s="1"/>
  <c r="AF24" i="9"/>
  <c r="AG24" i="9"/>
  <c r="AD25" i="9"/>
  <c r="AE25" i="9"/>
  <c r="AJ25" i="9" s="1"/>
  <c r="AF25" i="9"/>
  <c r="AG25" i="9"/>
  <c r="AD26" i="9"/>
  <c r="AE26" i="9"/>
  <c r="AJ26" i="9" s="1"/>
  <c r="AF26" i="9"/>
  <c r="AG26" i="9"/>
  <c r="AD27" i="9"/>
  <c r="AE27" i="9"/>
  <c r="AJ27" i="9" s="1"/>
  <c r="AF27" i="9"/>
  <c r="AG27" i="9"/>
  <c r="AD28" i="9"/>
  <c r="AE28" i="9"/>
  <c r="AJ28" i="9" s="1"/>
  <c r="AF28" i="9"/>
  <c r="AG28" i="9"/>
  <c r="AG18" i="9"/>
  <c r="AF18" i="9"/>
  <c r="AE18" i="9"/>
  <c r="AJ18" i="9" s="1"/>
  <c r="AD18" i="9"/>
  <c r="W19" i="9"/>
  <c r="W20" i="9"/>
  <c r="W21" i="9"/>
  <c r="W22" i="9"/>
  <c r="W23" i="9"/>
  <c r="W24" i="9"/>
  <c r="W25" i="9"/>
  <c r="W26" i="9"/>
  <c r="W27" i="9"/>
  <c r="W28" i="9"/>
  <c r="W18" i="9"/>
  <c r="Y19" i="9"/>
  <c r="Z19" i="9"/>
  <c r="Y20" i="9"/>
  <c r="Z20" i="9"/>
  <c r="Y21" i="9"/>
  <c r="Z21" i="9"/>
  <c r="Y22" i="9"/>
  <c r="Z22" i="9"/>
  <c r="Y23" i="9"/>
  <c r="Z23" i="9"/>
  <c r="Y24" i="9"/>
  <c r="Z24" i="9"/>
  <c r="Y25" i="9"/>
  <c r="Z25" i="9"/>
  <c r="Y26" i="9"/>
  <c r="Z26" i="9"/>
  <c r="Y27" i="9"/>
  <c r="Z27" i="9"/>
  <c r="Y28" i="9"/>
  <c r="Z28" i="9"/>
  <c r="Z18" i="9"/>
  <c r="Y18" i="9"/>
  <c r="R19" i="9"/>
  <c r="S19" i="9"/>
  <c r="X19" i="9" s="1"/>
  <c r="T19" i="9"/>
  <c r="U19" i="9"/>
  <c r="R20" i="9"/>
  <c r="S20" i="9"/>
  <c r="X20" i="9" s="1"/>
  <c r="T20" i="9"/>
  <c r="U20" i="9"/>
  <c r="R21" i="9"/>
  <c r="S21" i="9"/>
  <c r="X21" i="9" s="1"/>
  <c r="T21" i="9"/>
  <c r="U21" i="9"/>
  <c r="R22" i="9"/>
  <c r="S22" i="9"/>
  <c r="X22" i="9" s="1"/>
  <c r="T22" i="9"/>
  <c r="U22" i="9"/>
  <c r="R23" i="9"/>
  <c r="S23" i="9"/>
  <c r="X23" i="9" s="1"/>
  <c r="T23" i="9"/>
  <c r="U23" i="9"/>
  <c r="R24" i="9"/>
  <c r="S24" i="9"/>
  <c r="X24" i="9" s="1"/>
  <c r="T24" i="9"/>
  <c r="U24" i="9"/>
  <c r="R25" i="9"/>
  <c r="S25" i="9"/>
  <c r="X25" i="9" s="1"/>
  <c r="T25" i="9"/>
  <c r="U25" i="9"/>
  <c r="R26" i="9"/>
  <c r="S26" i="9"/>
  <c r="X26" i="9" s="1"/>
  <c r="T26" i="9"/>
  <c r="U26" i="9"/>
  <c r="R27" i="9"/>
  <c r="S27" i="9"/>
  <c r="X27" i="9" s="1"/>
  <c r="T27" i="9"/>
  <c r="U27" i="9"/>
  <c r="R28" i="9"/>
  <c r="S28" i="9"/>
  <c r="X28" i="9" s="1"/>
  <c r="T28" i="9"/>
  <c r="U28" i="9"/>
  <c r="U18" i="9"/>
  <c r="T18" i="9"/>
  <c r="S18" i="9"/>
  <c r="X18" i="9" s="1"/>
  <c r="R18" i="9"/>
  <c r="F5" i="9"/>
  <c r="G5" i="9"/>
  <c r="H5" i="9"/>
  <c r="I5" i="9"/>
  <c r="I19" i="9" s="1"/>
  <c r="J5" i="9"/>
  <c r="K5" i="9"/>
  <c r="L5" i="9"/>
  <c r="M5" i="9"/>
  <c r="N5" i="9"/>
  <c r="O5" i="9"/>
  <c r="P5" i="9"/>
  <c r="F6" i="9"/>
  <c r="G6" i="9"/>
  <c r="H6" i="9"/>
  <c r="I6" i="9"/>
  <c r="I20" i="9" s="1"/>
  <c r="J6" i="9"/>
  <c r="K6" i="9"/>
  <c r="L6" i="9"/>
  <c r="M6" i="9"/>
  <c r="N6" i="9"/>
  <c r="O6" i="9"/>
  <c r="P6" i="9"/>
  <c r="F7" i="9"/>
  <c r="G7" i="9"/>
  <c r="H7" i="9"/>
  <c r="I7" i="9"/>
  <c r="I21" i="9" s="1"/>
  <c r="J7" i="9"/>
  <c r="K7" i="9"/>
  <c r="L7" i="9"/>
  <c r="M7" i="9"/>
  <c r="N7" i="9"/>
  <c r="O7" i="9"/>
  <c r="P7" i="9"/>
  <c r="F8" i="9"/>
  <c r="G8" i="9"/>
  <c r="H8" i="9"/>
  <c r="I8" i="9"/>
  <c r="J8" i="9"/>
  <c r="K8" i="9"/>
  <c r="L8" i="9"/>
  <c r="M8" i="9"/>
  <c r="N8" i="9"/>
  <c r="O8" i="9"/>
  <c r="P8" i="9"/>
  <c r="F9" i="9"/>
  <c r="G9" i="9"/>
  <c r="H9" i="9"/>
  <c r="I9" i="9"/>
  <c r="J9" i="9"/>
  <c r="K9" i="9"/>
  <c r="L9" i="9"/>
  <c r="M9" i="9"/>
  <c r="N9" i="9"/>
  <c r="O9" i="9"/>
  <c r="P9" i="9"/>
  <c r="F10" i="9"/>
  <c r="G10" i="9"/>
  <c r="H10" i="9"/>
  <c r="I10" i="9"/>
  <c r="J10" i="9"/>
  <c r="K10" i="9"/>
  <c r="L10" i="9"/>
  <c r="M10" i="9"/>
  <c r="N10" i="9"/>
  <c r="O10" i="9"/>
  <c r="P10" i="9"/>
  <c r="F11" i="9"/>
  <c r="G11" i="9"/>
  <c r="H11" i="9"/>
  <c r="I11" i="9"/>
  <c r="J11" i="9"/>
  <c r="K11" i="9"/>
  <c r="L11" i="9"/>
  <c r="M11" i="9"/>
  <c r="N11" i="9"/>
  <c r="O11" i="9"/>
  <c r="P11" i="9"/>
  <c r="F12" i="9"/>
  <c r="G12" i="9"/>
  <c r="H12" i="9"/>
  <c r="I12" i="9"/>
  <c r="J12" i="9"/>
  <c r="K12" i="9"/>
  <c r="L12" i="9"/>
  <c r="M12" i="9"/>
  <c r="N12" i="9"/>
  <c r="O12" i="9"/>
  <c r="P12" i="9"/>
  <c r="F13" i="9"/>
  <c r="G13" i="9"/>
  <c r="H13" i="9"/>
  <c r="I13" i="9"/>
  <c r="J13" i="9"/>
  <c r="K13" i="9"/>
  <c r="L13" i="9"/>
  <c r="M13" i="9"/>
  <c r="N13" i="9"/>
  <c r="O13" i="9"/>
  <c r="P13" i="9"/>
  <c r="F14" i="9"/>
  <c r="G14" i="9"/>
  <c r="H14" i="9"/>
  <c r="I14" i="9"/>
  <c r="J14" i="9"/>
  <c r="K14" i="9"/>
  <c r="L14" i="9"/>
  <c r="M14" i="9"/>
  <c r="N14" i="9"/>
  <c r="O14" i="9"/>
  <c r="P14" i="9"/>
  <c r="K4" i="9"/>
  <c r="L4" i="9"/>
  <c r="M4" i="9"/>
  <c r="N4" i="9"/>
  <c r="O4" i="9"/>
  <c r="P4" i="9"/>
  <c r="J4" i="9"/>
  <c r="I4" i="9"/>
  <c r="G4" i="9"/>
  <c r="H4" i="9"/>
  <c r="F4" i="9"/>
  <c r="C5" i="9"/>
  <c r="C6" i="9"/>
  <c r="C7" i="9"/>
  <c r="C8" i="9"/>
  <c r="C9" i="9"/>
  <c r="C10" i="9"/>
  <c r="C11" i="9"/>
  <c r="C12" i="9"/>
  <c r="C13" i="9"/>
  <c r="C14" i="9"/>
  <c r="C4" i="9"/>
  <c r="CQ34" i="12"/>
  <c r="CQ35" i="12"/>
  <c r="CQ36" i="12"/>
  <c r="CQ37" i="12"/>
  <c r="CQ38" i="12"/>
  <c r="CQ39" i="12"/>
  <c r="CQ40" i="12"/>
  <c r="CQ41" i="12"/>
  <c r="CQ42" i="12"/>
  <c r="CQ43" i="12"/>
  <c r="CQ33" i="12"/>
  <c r="CQ32" i="12" l="1"/>
  <c r="CO28" i="12"/>
  <c r="CT43" i="12" s="1"/>
  <c r="BX28" i="12"/>
  <c r="BU28" i="12"/>
  <c r="AF28" i="12"/>
  <c r="AE28" i="12"/>
  <c r="AB28" i="12"/>
  <c r="AA28" i="12"/>
  <c r="Z28" i="12"/>
  <c r="AD28" i="12" s="1"/>
  <c r="V28" i="12"/>
  <c r="U28" i="12"/>
  <c r="R28" i="12"/>
  <c r="Q28" i="12"/>
  <c r="P28" i="12"/>
  <c r="T28" i="12" s="1"/>
  <c r="CO27" i="12"/>
  <c r="CT42" i="12" s="1"/>
  <c r="BX27" i="12"/>
  <c r="BU27" i="12"/>
  <c r="AF27" i="12"/>
  <c r="AE27" i="12"/>
  <c r="AB27" i="12"/>
  <c r="AA27" i="12"/>
  <c r="Z27" i="12"/>
  <c r="AD27" i="12" s="1"/>
  <c r="V27" i="12"/>
  <c r="U27" i="12"/>
  <c r="R27" i="12"/>
  <c r="Q27" i="12"/>
  <c r="P27" i="12"/>
  <c r="T27" i="12" s="1"/>
  <c r="CO26" i="12"/>
  <c r="CT41" i="12" s="1"/>
  <c r="BX26" i="12"/>
  <c r="BU26" i="12"/>
  <c r="AF26" i="12"/>
  <c r="AE26" i="12"/>
  <c r="AB26" i="12"/>
  <c r="AA26" i="12"/>
  <c r="Z26" i="12"/>
  <c r="AD26" i="12" s="1"/>
  <c r="V26" i="12"/>
  <c r="U26" i="12"/>
  <c r="R26" i="12"/>
  <c r="Q26" i="12"/>
  <c r="P26" i="12"/>
  <c r="CO25" i="12"/>
  <c r="CT40" i="12" s="1"/>
  <c r="BX25" i="12"/>
  <c r="BU25" i="12"/>
  <c r="AF25" i="12"/>
  <c r="AE25" i="12"/>
  <c r="AB25" i="12"/>
  <c r="AA25" i="12"/>
  <c r="Z25" i="12"/>
  <c r="AD25" i="12" s="1"/>
  <c r="V25" i="12"/>
  <c r="U25" i="12"/>
  <c r="R25" i="12"/>
  <c r="Q25" i="12"/>
  <c r="P25" i="12"/>
  <c r="T25" i="12" s="1"/>
  <c r="CO24" i="12"/>
  <c r="CT39" i="12" s="1"/>
  <c r="BX24" i="12"/>
  <c r="BU24" i="12"/>
  <c r="AF24" i="12"/>
  <c r="AE24" i="12"/>
  <c r="AB24" i="12"/>
  <c r="AA24" i="12"/>
  <c r="Z24" i="12"/>
  <c r="AD24" i="12" s="1"/>
  <c r="V24" i="12"/>
  <c r="U24" i="12"/>
  <c r="R24" i="12"/>
  <c r="Q24" i="12"/>
  <c r="P24" i="12"/>
  <c r="T24" i="12" s="1"/>
  <c r="CO23" i="12"/>
  <c r="CT38" i="12" s="1"/>
  <c r="BX23" i="12"/>
  <c r="BU23" i="12"/>
  <c r="AF23" i="12"/>
  <c r="AE23" i="12"/>
  <c r="AB23" i="12"/>
  <c r="AA23" i="12"/>
  <c r="Z23" i="12"/>
  <c r="AD23" i="12" s="1"/>
  <c r="V23" i="12"/>
  <c r="U23" i="12"/>
  <c r="R23" i="12"/>
  <c r="Q23" i="12"/>
  <c r="P23" i="12"/>
  <c r="CO22" i="12"/>
  <c r="CT37" i="12" s="1"/>
  <c r="BX22" i="12"/>
  <c r="BU22" i="12"/>
  <c r="AF22" i="12"/>
  <c r="AE22" i="12"/>
  <c r="AB22" i="12"/>
  <c r="AA22" i="12"/>
  <c r="Z22" i="12"/>
  <c r="AD22" i="12" s="1"/>
  <c r="V22" i="12"/>
  <c r="U22" i="12"/>
  <c r="R22" i="12"/>
  <c r="Q22" i="12"/>
  <c r="P22" i="12"/>
  <c r="T22" i="12" s="1"/>
  <c r="CO21" i="12"/>
  <c r="CT36" i="12" s="1"/>
  <c r="BX21" i="12"/>
  <c r="BU21" i="12"/>
  <c r="AF21" i="12"/>
  <c r="AE21" i="12"/>
  <c r="AB21" i="12"/>
  <c r="AA21" i="12"/>
  <c r="Z21" i="12"/>
  <c r="AD21" i="12" s="1"/>
  <c r="V21" i="12"/>
  <c r="U21" i="12"/>
  <c r="R21" i="12"/>
  <c r="Q21" i="12"/>
  <c r="P21" i="12"/>
  <c r="T21" i="12" s="1"/>
  <c r="CO20" i="12"/>
  <c r="CT35" i="12" s="1"/>
  <c r="BX20" i="12"/>
  <c r="BU20" i="12"/>
  <c r="AF20" i="12"/>
  <c r="AE20" i="12"/>
  <c r="AB20" i="12"/>
  <c r="AA20" i="12"/>
  <c r="Z20" i="12"/>
  <c r="AD20" i="12" s="1"/>
  <c r="V20" i="12"/>
  <c r="U20" i="12"/>
  <c r="R20" i="12"/>
  <c r="Q20" i="12"/>
  <c r="P20" i="12"/>
  <c r="T20" i="12" s="1"/>
  <c r="CO19" i="12"/>
  <c r="CT34" i="12" s="1"/>
  <c r="BX19" i="12"/>
  <c r="BU19" i="12"/>
  <c r="AF19" i="12"/>
  <c r="AE19" i="12"/>
  <c r="AB19" i="12"/>
  <c r="AA19" i="12"/>
  <c r="Z19" i="12"/>
  <c r="AD19" i="12" s="1"/>
  <c r="V19" i="12"/>
  <c r="U19" i="12"/>
  <c r="R19" i="12"/>
  <c r="Q19" i="12"/>
  <c r="P19" i="12"/>
  <c r="T19" i="12" s="1"/>
  <c r="CO18" i="12"/>
  <c r="CT33" i="12" s="1"/>
  <c r="BX18" i="12"/>
  <c r="AF18" i="12"/>
  <c r="AE18" i="12"/>
  <c r="AB18" i="12"/>
  <c r="AA18" i="12"/>
  <c r="Z18" i="12"/>
  <c r="AD18" i="12" s="1"/>
  <c r="V18" i="12"/>
  <c r="U18" i="12"/>
  <c r="R18" i="12"/>
  <c r="Q18" i="12"/>
  <c r="P18" i="12"/>
  <c r="N14" i="12"/>
  <c r="M14" i="12"/>
  <c r="L14" i="12"/>
  <c r="K14" i="12"/>
  <c r="J14" i="12"/>
  <c r="I14" i="12"/>
  <c r="H14" i="12"/>
  <c r="G14" i="12"/>
  <c r="G28" i="12" s="1"/>
  <c r="F14" i="12"/>
  <c r="E14" i="12"/>
  <c r="N13" i="12"/>
  <c r="M13" i="12"/>
  <c r="L13" i="12"/>
  <c r="K13" i="12"/>
  <c r="J13" i="12"/>
  <c r="I13" i="12"/>
  <c r="H13" i="12"/>
  <c r="G13" i="12"/>
  <c r="G27" i="12" s="1"/>
  <c r="F13" i="12"/>
  <c r="E13" i="12"/>
  <c r="N12" i="12"/>
  <c r="M12" i="12"/>
  <c r="L12" i="12"/>
  <c r="K12" i="12"/>
  <c r="J12" i="12"/>
  <c r="I12" i="12"/>
  <c r="H12" i="12"/>
  <c r="G12" i="12"/>
  <c r="G26" i="12" s="1"/>
  <c r="F12" i="12"/>
  <c r="E12" i="12"/>
  <c r="N11" i="12"/>
  <c r="M11" i="12"/>
  <c r="L11" i="12"/>
  <c r="K11" i="12"/>
  <c r="J11" i="12"/>
  <c r="I11" i="12"/>
  <c r="H11" i="12"/>
  <c r="G11" i="12"/>
  <c r="G25" i="12" s="1"/>
  <c r="F11" i="12"/>
  <c r="E11" i="12"/>
  <c r="N10" i="12"/>
  <c r="M10" i="12"/>
  <c r="L10" i="12"/>
  <c r="K10" i="12"/>
  <c r="J10" i="12"/>
  <c r="I10" i="12"/>
  <c r="H10" i="12"/>
  <c r="G10" i="12"/>
  <c r="G24" i="12" s="1"/>
  <c r="F10" i="12"/>
  <c r="E10" i="12"/>
  <c r="N9" i="12"/>
  <c r="M9" i="12"/>
  <c r="L9" i="12"/>
  <c r="K9" i="12"/>
  <c r="J9" i="12"/>
  <c r="I9" i="12"/>
  <c r="H9" i="12"/>
  <c r="G9" i="12"/>
  <c r="G23" i="12" s="1"/>
  <c r="F9" i="12"/>
  <c r="E9" i="12"/>
  <c r="N8" i="12"/>
  <c r="M8" i="12"/>
  <c r="L8" i="12"/>
  <c r="K8" i="12"/>
  <c r="J8" i="12"/>
  <c r="I8" i="12"/>
  <c r="H8" i="12"/>
  <c r="G8" i="12"/>
  <c r="G22" i="12" s="1"/>
  <c r="F8" i="12"/>
  <c r="E8" i="12"/>
  <c r="N7" i="12"/>
  <c r="M7" i="12"/>
  <c r="L7" i="12"/>
  <c r="K7" i="12"/>
  <c r="J7" i="12"/>
  <c r="I7" i="12"/>
  <c r="H7" i="12"/>
  <c r="G7" i="12"/>
  <c r="G21" i="12" s="1"/>
  <c r="F7" i="12"/>
  <c r="E7" i="12"/>
  <c r="N6" i="12"/>
  <c r="M6" i="12"/>
  <c r="L6" i="12"/>
  <c r="K6" i="12"/>
  <c r="J6" i="12"/>
  <c r="I6" i="12"/>
  <c r="H6" i="12"/>
  <c r="G6" i="12"/>
  <c r="G20" i="12" s="1"/>
  <c r="F6" i="12"/>
  <c r="E6" i="12"/>
  <c r="N5" i="12"/>
  <c r="M5" i="12"/>
  <c r="L5" i="12"/>
  <c r="K5" i="12"/>
  <c r="J5" i="12"/>
  <c r="I5" i="12"/>
  <c r="H5" i="12"/>
  <c r="G5" i="12"/>
  <c r="G19" i="12" s="1"/>
  <c r="F5" i="12"/>
  <c r="E5" i="12"/>
  <c r="N4" i="12"/>
  <c r="M4" i="12"/>
  <c r="L4" i="12"/>
  <c r="K4" i="12"/>
  <c r="J4" i="12"/>
  <c r="I4" i="12"/>
  <c r="H4" i="12"/>
  <c r="G4" i="12"/>
  <c r="G18" i="12" s="1"/>
  <c r="F4" i="12"/>
  <c r="E4" i="12"/>
  <c r="CY33" i="9"/>
  <c r="DD28" i="9"/>
  <c r="CJ28" i="9"/>
  <c r="CG28" i="9"/>
  <c r="AS28" i="9"/>
  <c r="AX28" i="9" s="1"/>
  <c r="CW43" i="9" s="1"/>
  <c r="AR28" i="9"/>
  <c r="AW28" i="9" s="1"/>
  <c r="CV43" i="9" s="1"/>
  <c r="AQ28" i="9"/>
  <c r="AV28" i="9" s="1"/>
  <c r="CU43" i="9" s="1"/>
  <c r="AP28" i="9"/>
  <c r="AU28" i="9" s="1"/>
  <c r="CT43" i="9" s="1"/>
  <c r="P28" i="9"/>
  <c r="BL28" i="9" s="1"/>
  <c r="O28" i="9"/>
  <c r="BK28" i="9" s="1"/>
  <c r="N28" i="9"/>
  <c r="CA28" i="9" s="1"/>
  <c r="M28" i="9"/>
  <c r="BZ28" i="9" s="1"/>
  <c r="L28" i="9"/>
  <c r="BH28" i="9" s="1"/>
  <c r="K28" i="9"/>
  <c r="BX28" i="9" s="1"/>
  <c r="J28" i="9"/>
  <c r="BF28" i="9" s="1"/>
  <c r="H28" i="9"/>
  <c r="BD28" i="9" s="1"/>
  <c r="G28" i="9"/>
  <c r="BT28" i="9" s="1"/>
  <c r="F28" i="9"/>
  <c r="BS28" i="9" s="1"/>
  <c r="CE28" i="9" s="1"/>
  <c r="DD27" i="9"/>
  <c r="CJ27" i="9"/>
  <c r="CG27" i="9"/>
  <c r="AS27" i="9"/>
  <c r="AX27" i="9" s="1"/>
  <c r="CW42" i="9" s="1"/>
  <c r="AR27" i="9"/>
  <c r="AW27" i="9" s="1"/>
  <c r="CV42" i="9" s="1"/>
  <c r="AQ27" i="9"/>
  <c r="AV27" i="9" s="1"/>
  <c r="CU42" i="9" s="1"/>
  <c r="AP27" i="9"/>
  <c r="AU27" i="9" s="1"/>
  <c r="CT42" i="9" s="1"/>
  <c r="P27" i="9"/>
  <c r="BL27" i="9" s="1"/>
  <c r="O27" i="9"/>
  <c r="CB27" i="9" s="1"/>
  <c r="N27" i="9"/>
  <c r="CA27" i="9" s="1"/>
  <c r="M27" i="9"/>
  <c r="BI27" i="9" s="1"/>
  <c r="L27" i="9"/>
  <c r="BH27" i="9" s="1"/>
  <c r="K27" i="9"/>
  <c r="BG27" i="9" s="1"/>
  <c r="J27" i="9"/>
  <c r="BF27" i="9" s="1"/>
  <c r="H27" i="9"/>
  <c r="BU27" i="9" s="1"/>
  <c r="G27" i="9"/>
  <c r="BT27" i="9" s="1"/>
  <c r="F27" i="9"/>
  <c r="BB27" i="9" s="1"/>
  <c r="BN27" i="9" s="1"/>
  <c r="DD26" i="9"/>
  <c r="CJ26" i="9"/>
  <c r="CG26" i="9"/>
  <c r="AS26" i="9"/>
  <c r="AX26" i="9" s="1"/>
  <c r="CW41" i="9" s="1"/>
  <c r="AR26" i="9"/>
  <c r="AW26" i="9" s="1"/>
  <c r="CV41" i="9" s="1"/>
  <c r="AQ26" i="9"/>
  <c r="AV26" i="9" s="1"/>
  <c r="CU41" i="9" s="1"/>
  <c r="AP26" i="9"/>
  <c r="AU26" i="9" s="1"/>
  <c r="CT41" i="9" s="1"/>
  <c r="P26" i="9"/>
  <c r="CC26" i="9" s="1"/>
  <c r="O26" i="9"/>
  <c r="CB26" i="9" s="1"/>
  <c r="N26" i="9"/>
  <c r="BJ26" i="9" s="1"/>
  <c r="M26" i="9"/>
  <c r="BZ26" i="9" s="1"/>
  <c r="L26" i="9"/>
  <c r="BH26" i="9" s="1"/>
  <c r="K26" i="9"/>
  <c r="BX26" i="9" s="1"/>
  <c r="J26" i="9"/>
  <c r="BF26" i="9" s="1"/>
  <c r="H26" i="9"/>
  <c r="BD26" i="9" s="1"/>
  <c r="G26" i="9"/>
  <c r="BT26" i="9" s="1"/>
  <c r="F26" i="9"/>
  <c r="BB26" i="9" s="1"/>
  <c r="BN26" i="9" s="1"/>
  <c r="DD25" i="9"/>
  <c r="CJ25" i="9"/>
  <c r="CG25" i="9"/>
  <c r="AS25" i="9"/>
  <c r="AX25" i="9" s="1"/>
  <c r="CW40" i="9" s="1"/>
  <c r="AR25" i="9"/>
  <c r="AW25" i="9" s="1"/>
  <c r="CV40" i="9" s="1"/>
  <c r="AQ25" i="9"/>
  <c r="AV25" i="9" s="1"/>
  <c r="CU40" i="9" s="1"/>
  <c r="AP25" i="9"/>
  <c r="AU25" i="9" s="1"/>
  <c r="CT40" i="9" s="1"/>
  <c r="P25" i="9"/>
  <c r="BL25" i="9" s="1"/>
  <c r="O25" i="9"/>
  <c r="CB25" i="9" s="1"/>
  <c r="N25" i="9"/>
  <c r="CA25" i="9" s="1"/>
  <c r="M25" i="9"/>
  <c r="BZ25" i="9" s="1"/>
  <c r="L25" i="9"/>
  <c r="BH25" i="9" s="1"/>
  <c r="K25" i="9"/>
  <c r="BX25" i="9" s="1"/>
  <c r="J25" i="9"/>
  <c r="BF25" i="9" s="1"/>
  <c r="H25" i="9"/>
  <c r="BU25" i="9" s="1"/>
  <c r="G25" i="9"/>
  <c r="BC25" i="9" s="1"/>
  <c r="F25" i="9"/>
  <c r="BB25" i="9" s="1"/>
  <c r="BN25" i="9" s="1"/>
  <c r="DD24" i="9"/>
  <c r="CJ24" i="9"/>
  <c r="CG24" i="9"/>
  <c r="AS24" i="9"/>
  <c r="AX24" i="9" s="1"/>
  <c r="CW39" i="9" s="1"/>
  <c r="AR24" i="9"/>
  <c r="AW24" i="9" s="1"/>
  <c r="CV39" i="9" s="1"/>
  <c r="AQ24" i="9"/>
  <c r="AV24" i="9" s="1"/>
  <c r="CU39" i="9" s="1"/>
  <c r="AP24" i="9"/>
  <c r="AU24" i="9" s="1"/>
  <c r="CT39" i="9" s="1"/>
  <c r="P24" i="9"/>
  <c r="CC24" i="9" s="1"/>
  <c r="O24" i="9"/>
  <c r="CB24" i="9" s="1"/>
  <c r="N24" i="9"/>
  <c r="CA24" i="9" s="1"/>
  <c r="M24" i="9"/>
  <c r="BZ24" i="9" s="1"/>
  <c r="L24" i="9"/>
  <c r="BH24" i="9" s="1"/>
  <c r="K24" i="9"/>
  <c r="BX24" i="9" s="1"/>
  <c r="J24" i="9"/>
  <c r="BF24" i="9" s="1"/>
  <c r="H24" i="9"/>
  <c r="BD24" i="9" s="1"/>
  <c r="G24" i="9"/>
  <c r="BC24" i="9" s="1"/>
  <c r="F24" i="9"/>
  <c r="BS24" i="9" s="1"/>
  <c r="CE24" i="9" s="1"/>
  <c r="DD23" i="9"/>
  <c r="CJ23" i="9"/>
  <c r="CG23" i="9"/>
  <c r="AS23" i="9"/>
  <c r="AX23" i="9" s="1"/>
  <c r="CW38" i="9" s="1"/>
  <c r="AR23" i="9"/>
  <c r="AW23" i="9" s="1"/>
  <c r="CV38" i="9" s="1"/>
  <c r="AQ23" i="9"/>
  <c r="AV23" i="9" s="1"/>
  <c r="CU38" i="9" s="1"/>
  <c r="AP23" i="9"/>
  <c r="AU23" i="9" s="1"/>
  <c r="CT38" i="9" s="1"/>
  <c r="P23" i="9"/>
  <c r="CC23" i="9" s="1"/>
  <c r="O23" i="9"/>
  <c r="CB23" i="9" s="1"/>
  <c r="N23" i="9"/>
  <c r="CA23" i="9" s="1"/>
  <c r="M23" i="9"/>
  <c r="BZ23" i="9" s="1"/>
  <c r="L23" i="9"/>
  <c r="BH23" i="9" s="1"/>
  <c r="K23" i="9"/>
  <c r="BG23" i="9" s="1"/>
  <c r="J23" i="9"/>
  <c r="BF23" i="9" s="1"/>
  <c r="H23" i="9"/>
  <c r="BD23" i="9" s="1"/>
  <c r="G23" i="9"/>
  <c r="BT23" i="9" s="1"/>
  <c r="F23" i="9"/>
  <c r="BS23" i="9" s="1"/>
  <c r="CE23" i="9" s="1"/>
  <c r="DD22" i="9"/>
  <c r="CJ22" i="9"/>
  <c r="CG22" i="9"/>
  <c r="AS22" i="9"/>
  <c r="AX22" i="9" s="1"/>
  <c r="CW37" i="9" s="1"/>
  <c r="AR22" i="9"/>
  <c r="AW22" i="9" s="1"/>
  <c r="CV37" i="9" s="1"/>
  <c r="AQ22" i="9"/>
  <c r="AV22" i="9" s="1"/>
  <c r="CU37" i="9" s="1"/>
  <c r="AP22" i="9"/>
  <c r="AU22" i="9" s="1"/>
  <c r="CT37" i="9" s="1"/>
  <c r="P22" i="9"/>
  <c r="CC22" i="9" s="1"/>
  <c r="O22" i="9"/>
  <c r="CB22" i="9" s="1"/>
  <c r="N22" i="9"/>
  <c r="BJ22" i="9" s="1"/>
  <c r="M22" i="9"/>
  <c r="BZ22" i="9" s="1"/>
  <c r="L22" i="9"/>
  <c r="BH22" i="9" s="1"/>
  <c r="K22" i="9"/>
  <c r="BX22" i="9" s="1"/>
  <c r="J22" i="9"/>
  <c r="BF22" i="9" s="1"/>
  <c r="H22" i="9"/>
  <c r="BD22" i="9" s="1"/>
  <c r="G22" i="9"/>
  <c r="BT22" i="9" s="1"/>
  <c r="F22" i="9"/>
  <c r="BB22" i="9" s="1"/>
  <c r="BN22" i="9" s="1"/>
  <c r="DD21" i="9"/>
  <c r="CJ21" i="9"/>
  <c r="CG21" i="9"/>
  <c r="AS21" i="9"/>
  <c r="AX21" i="9" s="1"/>
  <c r="CW36" i="9" s="1"/>
  <c r="AR21" i="9"/>
  <c r="AW21" i="9" s="1"/>
  <c r="CV36" i="9" s="1"/>
  <c r="AQ21" i="9"/>
  <c r="AV21" i="9" s="1"/>
  <c r="CU36" i="9" s="1"/>
  <c r="AP21" i="9"/>
  <c r="AU21" i="9" s="1"/>
  <c r="CT36" i="9" s="1"/>
  <c r="P21" i="9"/>
  <c r="BL21" i="9" s="1"/>
  <c r="O21" i="9"/>
  <c r="CB21" i="9" s="1"/>
  <c r="N21" i="9"/>
  <c r="CA21" i="9" s="1"/>
  <c r="M21" i="9"/>
  <c r="BI21" i="9" s="1"/>
  <c r="L21" i="9"/>
  <c r="BH21" i="9" s="1"/>
  <c r="K21" i="9"/>
  <c r="BX21" i="9" s="1"/>
  <c r="J21" i="9"/>
  <c r="BF21" i="9" s="1"/>
  <c r="H21" i="9"/>
  <c r="BD21" i="9" s="1"/>
  <c r="G21" i="9"/>
  <c r="BC21" i="9" s="1"/>
  <c r="F21" i="9"/>
  <c r="BS21" i="9" s="1"/>
  <c r="CE21" i="9" s="1"/>
  <c r="DD20" i="9"/>
  <c r="CJ20" i="9"/>
  <c r="CG20" i="9"/>
  <c r="AS20" i="9"/>
  <c r="AX20" i="9" s="1"/>
  <c r="CW35" i="9" s="1"/>
  <c r="AR20" i="9"/>
  <c r="AW20" i="9" s="1"/>
  <c r="CV35" i="9" s="1"/>
  <c r="AQ20" i="9"/>
  <c r="AV20" i="9" s="1"/>
  <c r="CU35" i="9" s="1"/>
  <c r="AP20" i="9"/>
  <c r="AU20" i="9" s="1"/>
  <c r="CT35" i="9" s="1"/>
  <c r="P20" i="9"/>
  <c r="CC20" i="9" s="1"/>
  <c r="O20" i="9"/>
  <c r="CB20" i="9" s="1"/>
  <c r="N20" i="9"/>
  <c r="CA20" i="9" s="1"/>
  <c r="M20" i="9"/>
  <c r="BZ20" i="9" s="1"/>
  <c r="L20" i="9"/>
  <c r="BH20" i="9" s="1"/>
  <c r="K20" i="9"/>
  <c r="BX20" i="9" s="1"/>
  <c r="J20" i="9"/>
  <c r="BF20" i="9" s="1"/>
  <c r="H20" i="9"/>
  <c r="BD20" i="9" s="1"/>
  <c r="G20" i="9"/>
  <c r="BT20" i="9" s="1"/>
  <c r="F20" i="9"/>
  <c r="BS20" i="9" s="1"/>
  <c r="CE20" i="9" s="1"/>
  <c r="DD19" i="9"/>
  <c r="CJ19" i="9"/>
  <c r="CG19" i="9"/>
  <c r="AS19" i="9"/>
  <c r="AX19" i="9" s="1"/>
  <c r="CW34" i="9" s="1"/>
  <c r="AR19" i="9"/>
  <c r="AW19" i="9" s="1"/>
  <c r="CV34" i="9" s="1"/>
  <c r="AQ19" i="9"/>
  <c r="AV19" i="9" s="1"/>
  <c r="CU34" i="9" s="1"/>
  <c r="AP19" i="9"/>
  <c r="AU19" i="9" s="1"/>
  <c r="CT34" i="9" s="1"/>
  <c r="P19" i="9"/>
  <c r="CC19" i="9" s="1"/>
  <c r="O19" i="9"/>
  <c r="CB19" i="9" s="1"/>
  <c r="N19" i="9"/>
  <c r="CA19" i="9" s="1"/>
  <c r="M19" i="9"/>
  <c r="BI19" i="9" s="1"/>
  <c r="L19" i="9"/>
  <c r="BH19" i="9" s="1"/>
  <c r="K19" i="9"/>
  <c r="BX19" i="9" s="1"/>
  <c r="J19" i="9"/>
  <c r="BF19" i="9" s="1"/>
  <c r="H19" i="9"/>
  <c r="BU19" i="9" s="1"/>
  <c r="G19" i="9"/>
  <c r="BT19" i="9" s="1"/>
  <c r="F19" i="9"/>
  <c r="BS19" i="9" s="1"/>
  <c r="CE19" i="9" s="1"/>
  <c r="DD18" i="9"/>
  <c r="CM18" i="9"/>
  <c r="CJ18" i="9"/>
  <c r="CE18" i="9"/>
  <c r="BN18" i="9"/>
  <c r="BH18" i="9"/>
  <c r="BB18" i="9"/>
  <c r="AS18" i="9"/>
  <c r="AX18" i="9" s="1"/>
  <c r="CW33" i="9" s="1"/>
  <c r="AR18" i="9"/>
  <c r="AW18" i="9" s="1"/>
  <c r="CV33" i="9" s="1"/>
  <c r="AQ18" i="9"/>
  <c r="AV18" i="9" s="1"/>
  <c r="CU33" i="9" s="1"/>
  <c r="AP18" i="9"/>
  <c r="AU18" i="9" s="1"/>
  <c r="P18" i="9"/>
  <c r="BL18" i="9" s="1"/>
  <c r="O18" i="9"/>
  <c r="CB18" i="9" s="1"/>
  <c r="N18" i="9"/>
  <c r="CA18" i="9" s="1"/>
  <c r="M18" i="9"/>
  <c r="BZ18" i="9" s="1"/>
  <c r="L18" i="9"/>
  <c r="K18" i="9"/>
  <c r="BG18" i="9" s="1"/>
  <c r="J18" i="9"/>
  <c r="BF18" i="9" s="1"/>
  <c r="I18" i="9"/>
  <c r="BV18" i="9" s="1"/>
  <c r="CG18" i="9" s="1"/>
  <c r="H18" i="9"/>
  <c r="BD18" i="9" s="1"/>
  <c r="G18" i="9"/>
  <c r="BT18" i="9" s="1"/>
  <c r="E34" i="4"/>
  <c r="E33" i="4"/>
  <c r="E32" i="4"/>
  <c r="E30" i="4"/>
  <c r="I28" i="4"/>
  <c r="I26" i="4"/>
  <c r="I25" i="4"/>
  <c r="I24" i="4"/>
  <c r="I23" i="4"/>
  <c r="J22" i="4"/>
  <c r="I22" i="4"/>
  <c r="H22" i="4"/>
  <c r="F22" i="4"/>
  <c r="E22" i="4"/>
  <c r="J20" i="4"/>
  <c r="I20" i="4"/>
  <c r="H20" i="4"/>
  <c r="F20" i="4"/>
  <c r="J19" i="4"/>
  <c r="I19" i="4"/>
  <c r="H19" i="4"/>
  <c r="F19" i="4"/>
  <c r="J18" i="4"/>
  <c r="I18" i="4"/>
  <c r="H18" i="4"/>
  <c r="F18" i="4"/>
  <c r="J17" i="4"/>
  <c r="I17" i="4"/>
  <c r="H17" i="4"/>
  <c r="F17" i="4"/>
  <c r="J16" i="4"/>
  <c r="I16" i="4"/>
  <c r="H16" i="4"/>
  <c r="F16" i="4"/>
  <c r="M15" i="4"/>
  <c r="J15" i="4"/>
  <c r="I15" i="4"/>
  <c r="H15" i="4"/>
  <c r="F15" i="4"/>
  <c r="H15" i="14"/>
  <c r="F13" i="14"/>
  <c r="F12" i="14"/>
  <c r="F11" i="14"/>
  <c r="F10" i="14"/>
  <c r="F9" i="14"/>
  <c r="F8" i="14"/>
  <c r="F15" i="14" s="1"/>
  <c r="E21" i="12" l="1"/>
  <c r="E24" i="12"/>
  <c r="E28" i="12"/>
  <c r="F25" i="12"/>
  <c r="AU25" i="12" s="1"/>
  <c r="AL27" i="12"/>
  <c r="AP27" i="12" s="1"/>
  <c r="CI42" i="12" s="1"/>
  <c r="F18" i="12"/>
  <c r="BJ18" i="12" s="1"/>
  <c r="E27" i="12"/>
  <c r="AT27" i="12" s="1"/>
  <c r="AL26" i="12"/>
  <c r="AP26" i="12" s="1"/>
  <c r="AJ28" i="12"/>
  <c r="AN28" i="12" s="1"/>
  <c r="F19" i="12"/>
  <c r="BJ19" i="12" s="1"/>
  <c r="E22" i="12"/>
  <c r="BI22" i="12" s="1"/>
  <c r="AL19" i="12"/>
  <c r="AP19" i="12" s="1"/>
  <c r="N22" i="12"/>
  <c r="BR22" i="12" s="1"/>
  <c r="E23" i="12"/>
  <c r="AT23" i="12" s="1"/>
  <c r="BK22" i="9"/>
  <c r="BB28" i="9"/>
  <c r="BN28" i="9" s="1"/>
  <c r="CM28" i="9" s="1"/>
  <c r="BD19" i="9"/>
  <c r="BB20" i="9"/>
  <c r="BN20" i="9" s="1"/>
  <c r="CM20" i="9" s="1"/>
  <c r="BK26" i="9"/>
  <c r="CF19" i="9"/>
  <c r="BG19" i="9"/>
  <c r="BB21" i="9"/>
  <c r="BN21" i="9" s="1"/>
  <c r="CM21" i="9" s="1"/>
  <c r="CT21" i="9" s="1"/>
  <c r="CY21" i="9" s="1"/>
  <c r="BS22" i="9"/>
  <c r="CE22" i="9" s="1"/>
  <c r="BD25" i="9"/>
  <c r="BO25" i="9" s="1"/>
  <c r="BS26" i="9"/>
  <c r="CE26" i="9" s="1"/>
  <c r="CM26" i="9" s="1"/>
  <c r="CB28" i="9"/>
  <c r="BJ21" i="9"/>
  <c r="BI25" i="9"/>
  <c r="BK21" i="9"/>
  <c r="BK25" i="9"/>
  <c r="BC20" i="9"/>
  <c r="BO20" i="9" s="1"/>
  <c r="BK23" i="9"/>
  <c r="BD27" i="9"/>
  <c r="BX18" i="9"/>
  <c r="BK20" i="9"/>
  <c r="BU21" i="9"/>
  <c r="BL23" i="9"/>
  <c r="BZ27" i="9"/>
  <c r="BL20" i="9"/>
  <c r="BC26" i="9"/>
  <c r="BO26" i="9" s="1"/>
  <c r="CC27" i="9"/>
  <c r="BI22" i="9"/>
  <c r="BU18" i="9"/>
  <c r="CF18" i="9" s="1"/>
  <c r="BK19" i="9"/>
  <c r="BZ21" i="9"/>
  <c r="BU22" i="9"/>
  <c r="CF22" i="9" s="1"/>
  <c r="BJ24" i="9"/>
  <c r="BJ25" i="9"/>
  <c r="BG26" i="9"/>
  <c r="BC27" i="9"/>
  <c r="BO27" i="9" s="1"/>
  <c r="CC28" i="9"/>
  <c r="BL19" i="9"/>
  <c r="BX23" i="9"/>
  <c r="CH23" i="9" s="1"/>
  <c r="BK24" i="9"/>
  <c r="BC22" i="9"/>
  <c r="BL24" i="9"/>
  <c r="BS25" i="9"/>
  <c r="CE25" i="9" s="1"/>
  <c r="CM25" i="9" s="1"/>
  <c r="BI26" i="9"/>
  <c r="BC28" i="9"/>
  <c r="BO28" i="9" s="1"/>
  <c r="BJ20" i="9"/>
  <c r="BG22" i="9"/>
  <c r="BB23" i="9"/>
  <c r="BN23" i="9" s="1"/>
  <c r="CM23" i="9" s="1"/>
  <c r="CF27" i="9"/>
  <c r="BG28" i="9"/>
  <c r="BB19" i="9"/>
  <c r="BN19" i="9" s="1"/>
  <c r="CM19" i="9" s="1"/>
  <c r="CY34" i="9" s="1"/>
  <c r="BZ19" i="9"/>
  <c r="CH19" i="9" s="1"/>
  <c r="CM22" i="9"/>
  <c r="CY37" i="9" s="1"/>
  <c r="BC23" i="9"/>
  <c r="BO23" i="9" s="1"/>
  <c r="BC18" i="9"/>
  <c r="BO18" i="9" s="1"/>
  <c r="BC19" i="9"/>
  <c r="BO19" i="9" s="1"/>
  <c r="CN19" i="9" s="1"/>
  <c r="BU26" i="9"/>
  <c r="CF26" i="9" s="1"/>
  <c r="CN26" i="9" s="1"/>
  <c r="BS27" i="9"/>
  <c r="CE27" i="9" s="1"/>
  <c r="CM27" i="9" s="1"/>
  <c r="BB24" i="9"/>
  <c r="BN24" i="9" s="1"/>
  <c r="CM24" i="9" s="1"/>
  <c r="E10" i="14"/>
  <c r="E13" i="14"/>
  <c r="E9" i="14"/>
  <c r="E11" i="14"/>
  <c r="E12" i="14"/>
  <c r="E8" i="14"/>
  <c r="DI26" i="9"/>
  <c r="DI27" i="9"/>
  <c r="DI23" i="9"/>
  <c r="DI21" i="9"/>
  <c r="DI25" i="9"/>
  <c r="DI28" i="9"/>
  <c r="DI19" i="9"/>
  <c r="DI22" i="9"/>
  <c r="DI20" i="9"/>
  <c r="DI24" i="9"/>
  <c r="CT18" i="9"/>
  <c r="CY18" i="9" s="1"/>
  <c r="CT33" i="9"/>
  <c r="DI18" i="9" s="1"/>
  <c r="CY43" i="9"/>
  <c r="CT28" i="9"/>
  <c r="CY28" i="9" s="1"/>
  <c r="CH20" i="9"/>
  <c r="BO24" i="9"/>
  <c r="CT22" i="9"/>
  <c r="CY22" i="9" s="1"/>
  <c r="CH24" i="9"/>
  <c r="BO21" i="9"/>
  <c r="CZ34" i="9"/>
  <c r="CU19" i="9"/>
  <c r="CZ19" i="9" s="1"/>
  <c r="BO22" i="9"/>
  <c r="CY35" i="9"/>
  <c r="CT20" i="9"/>
  <c r="CY20" i="9" s="1"/>
  <c r="BG20" i="9"/>
  <c r="BL22" i="9"/>
  <c r="BG24" i="9"/>
  <c r="BL26" i="9"/>
  <c r="BG21" i="9"/>
  <c r="BI23" i="9"/>
  <c r="BG25" i="9"/>
  <c r="BJ27" i="9"/>
  <c r="BI28" i="9"/>
  <c r="BJ19" i="9"/>
  <c r="BQ19" i="9" s="1"/>
  <c r="BI20" i="9"/>
  <c r="CC21" i="9"/>
  <c r="CH21" i="9" s="1"/>
  <c r="CA22" i="9"/>
  <c r="CH22" i="9" s="1"/>
  <c r="BJ23" i="9"/>
  <c r="BU23" i="9"/>
  <c r="CF23" i="9" s="1"/>
  <c r="BI24" i="9"/>
  <c r="BT24" i="9"/>
  <c r="CC25" i="9"/>
  <c r="CH25" i="9" s="1"/>
  <c r="CA26" i="9"/>
  <c r="CH26" i="9" s="1"/>
  <c r="BK27" i="9"/>
  <c r="BX27" i="9"/>
  <c r="BJ28" i="9"/>
  <c r="BU28" i="9"/>
  <c r="CF28" i="9" s="1"/>
  <c r="CN28" i="9" s="1"/>
  <c r="BU20" i="9"/>
  <c r="CF20" i="9" s="1"/>
  <c r="BU24" i="9"/>
  <c r="BT21" i="9"/>
  <c r="CF21" i="9" s="1"/>
  <c r="BT25" i="9"/>
  <c r="CF25" i="9" s="1"/>
  <c r="CC18" i="9"/>
  <c r="CH18" i="9" s="1"/>
  <c r="BI18" i="9"/>
  <c r="BJ18" i="9"/>
  <c r="BK18" i="9"/>
  <c r="E18" i="12"/>
  <c r="AT18" i="12" s="1"/>
  <c r="AK27" i="12"/>
  <c r="AO27" i="12" s="1"/>
  <c r="CH42" i="12" s="1"/>
  <c r="AL22" i="12"/>
  <c r="AP22" i="12" s="1"/>
  <c r="AL24" i="12"/>
  <c r="AP24" i="12" s="1"/>
  <c r="AJ19" i="12"/>
  <c r="AN19" i="12" s="1"/>
  <c r="AK25" i="12"/>
  <c r="AO25" i="12" s="1"/>
  <c r="CH40" i="12" s="1"/>
  <c r="J18" i="12"/>
  <c r="AY18" i="12" s="1"/>
  <c r="H19" i="12"/>
  <c r="AW19" i="12" s="1"/>
  <c r="E20" i="12"/>
  <c r="BI20" i="12" s="1"/>
  <c r="M20" i="12"/>
  <c r="BB20" i="12" s="1"/>
  <c r="J21" i="12"/>
  <c r="AY21" i="12" s="1"/>
  <c r="L23" i="12"/>
  <c r="BA23" i="12" s="1"/>
  <c r="I24" i="12"/>
  <c r="AX24" i="12" s="1"/>
  <c r="N25" i="12"/>
  <c r="BC25" i="12" s="1"/>
  <c r="K26" i="12"/>
  <c r="AZ26" i="12" s="1"/>
  <c r="L28" i="12"/>
  <c r="BP28" i="12" s="1"/>
  <c r="AU18" i="12"/>
  <c r="AJ27" i="12"/>
  <c r="AN27" i="12" s="1"/>
  <c r="K21" i="12"/>
  <c r="AZ21" i="12" s="1"/>
  <c r="F23" i="12"/>
  <c r="AK23" i="12"/>
  <c r="AO23" i="12" s="1"/>
  <c r="CH38" i="12" s="1"/>
  <c r="F28" i="12"/>
  <c r="BJ28" i="12" s="1"/>
  <c r="AJ20" i="12"/>
  <c r="AN20" i="12" s="1"/>
  <c r="I19" i="12"/>
  <c r="M18" i="12"/>
  <c r="BB18" i="12" s="1"/>
  <c r="K19" i="12"/>
  <c r="BO19" i="12" s="1"/>
  <c r="L19" i="12"/>
  <c r="BP19" i="12" s="1"/>
  <c r="N20" i="12"/>
  <c r="BR20" i="12" s="1"/>
  <c r="F21" i="12"/>
  <c r="BJ21" i="12" s="1"/>
  <c r="K22" i="12"/>
  <c r="AZ22" i="12" s="1"/>
  <c r="K27" i="12"/>
  <c r="BO27" i="12" s="1"/>
  <c r="AK20" i="12"/>
  <c r="AO20" i="12" s="1"/>
  <c r="AK21" i="12"/>
  <c r="AO21" i="12" s="1"/>
  <c r="T23" i="12"/>
  <c r="AJ23" i="12" s="1"/>
  <c r="AN23" i="12" s="1"/>
  <c r="CG38" i="12" s="1"/>
  <c r="AK24" i="12"/>
  <c r="AO24" i="12" s="1"/>
  <c r="CH39" i="12" s="1"/>
  <c r="AL28" i="12"/>
  <c r="AP28" i="12" s="1"/>
  <c r="M21" i="12"/>
  <c r="BQ21" i="12" s="1"/>
  <c r="E19" i="12"/>
  <c r="BI19" i="12" s="1"/>
  <c r="M19" i="12"/>
  <c r="BB19" i="12" s="1"/>
  <c r="J20" i="12"/>
  <c r="AY20" i="12" s="1"/>
  <c r="L22" i="12"/>
  <c r="BP22" i="12" s="1"/>
  <c r="AK18" i="12"/>
  <c r="AO18" i="12" s="1"/>
  <c r="CH33" i="12" s="1"/>
  <c r="AL20" i="12"/>
  <c r="AP20" i="12" s="1"/>
  <c r="CI35" i="12" s="1"/>
  <c r="L18" i="12"/>
  <c r="BP18" i="12" s="1"/>
  <c r="H20" i="12"/>
  <c r="AW20" i="12" s="1"/>
  <c r="F26" i="12"/>
  <c r="BJ26" i="12" s="1"/>
  <c r="I18" i="12"/>
  <c r="BM18" i="12" s="1"/>
  <c r="N19" i="12"/>
  <c r="BC19" i="12" s="1"/>
  <c r="K20" i="12"/>
  <c r="AZ20" i="12" s="1"/>
  <c r="AL18" i="12"/>
  <c r="AP18" i="12" s="1"/>
  <c r="AK22" i="12"/>
  <c r="AO22" i="12" s="1"/>
  <c r="CH37" i="12" s="1"/>
  <c r="AJ24" i="12"/>
  <c r="AN24" i="12" s="1"/>
  <c r="CG39" i="12" s="1"/>
  <c r="AJ25" i="12"/>
  <c r="AN25" i="12" s="1"/>
  <c r="J22" i="12"/>
  <c r="AY22" i="12" s="1"/>
  <c r="L20" i="12"/>
  <c r="BP20" i="12" s="1"/>
  <c r="I21" i="12"/>
  <c r="F22" i="12"/>
  <c r="AU22" i="12" s="1"/>
  <c r="K23" i="12"/>
  <c r="BO23" i="12" s="1"/>
  <c r="H24" i="12"/>
  <c r="AW24" i="12" s="1"/>
  <c r="E25" i="12"/>
  <c r="AT25" i="12" s="1"/>
  <c r="J26" i="12"/>
  <c r="AY26" i="12" s="1"/>
  <c r="AK19" i="12"/>
  <c r="AO19" i="12" s="1"/>
  <c r="CH34" i="12" s="1"/>
  <c r="AK26" i="12"/>
  <c r="AO26" i="12" s="1"/>
  <c r="BM19" i="12"/>
  <c r="AX19" i="12"/>
  <c r="CG34" i="12"/>
  <c r="CG43" i="12"/>
  <c r="AT21" i="12"/>
  <c r="BI21" i="12"/>
  <c r="CG35" i="12"/>
  <c r="BK18" i="12"/>
  <c r="BU18" i="12" s="1"/>
  <c r="BA19" i="12"/>
  <c r="CH35" i="12"/>
  <c r="BC20" i="12"/>
  <c r="AX18" i="12"/>
  <c r="CI33" i="12"/>
  <c r="CG42" i="12"/>
  <c r="AX21" i="12"/>
  <c r="BM21" i="12"/>
  <c r="BI25" i="12"/>
  <c r="BM24" i="12"/>
  <c r="BJ25" i="12"/>
  <c r="CI34" i="12"/>
  <c r="CI39" i="12"/>
  <c r="M25" i="12"/>
  <c r="BR25" i="12"/>
  <c r="H22" i="12"/>
  <c r="M23" i="12"/>
  <c r="J24" i="12"/>
  <c r="AY24" i="12" s="1"/>
  <c r="L26" i="12"/>
  <c r="H27" i="12"/>
  <c r="AT28" i="12"/>
  <c r="BI28" i="12"/>
  <c r="M28" i="12"/>
  <c r="K18" i="12"/>
  <c r="T18" i="12"/>
  <c r="AJ18" i="12" s="1"/>
  <c r="AN18" i="12" s="1"/>
  <c r="BQ20" i="12"/>
  <c r="AL23" i="12"/>
  <c r="AP23" i="12" s="1"/>
  <c r="CI41" i="12"/>
  <c r="BI27" i="12"/>
  <c r="AK28" i="12"/>
  <c r="AO28" i="12" s="1"/>
  <c r="I20" i="12"/>
  <c r="L24" i="12"/>
  <c r="J19" i="12"/>
  <c r="AY19" i="12" s="1"/>
  <c r="L21" i="12"/>
  <c r="I22" i="12"/>
  <c r="N23" i="12"/>
  <c r="K24" i="12"/>
  <c r="H25" i="12"/>
  <c r="E26" i="12"/>
  <c r="M26" i="12"/>
  <c r="I27" i="12"/>
  <c r="AU28" i="12"/>
  <c r="N28" i="12"/>
  <c r="AL21" i="12"/>
  <c r="AP21" i="12" s="1"/>
  <c r="CI43" i="12"/>
  <c r="BC22" i="12"/>
  <c r="I25" i="12"/>
  <c r="N26" i="12"/>
  <c r="J27" i="12"/>
  <c r="AY27" i="12" s="1"/>
  <c r="AJ22" i="12"/>
  <c r="AN22" i="12" s="1"/>
  <c r="BO22" i="12"/>
  <c r="AL25" i="12"/>
  <c r="AP25" i="12" s="1"/>
  <c r="N21" i="12"/>
  <c r="H23" i="12"/>
  <c r="AZ27" i="12"/>
  <c r="N18" i="12"/>
  <c r="CI37" i="12"/>
  <c r="CG40" i="12"/>
  <c r="BI24" i="12"/>
  <c r="AT24" i="12"/>
  <c r="M24" i="12"/>
  <c r="J25" i="12"/>
  <c r="AY25" i="12" s="1"/>
  <c r="H28" i="12"/>
  <c r="I23" i="12"/>
  <c r="F24" i="12"/>
  <c r="N24" i="12"/>
  <c r="K25" i="12"/>
  <c r="H26" i="12"/>
  <c r="L27" i="12"/>
  <c r="I28" i="12"/>
  <c r="AT20" i="12"/>
  <c r="AJ21" i="12"/>
  <c r="AN21" i="12" s="1"/>
  <c r="H21" i="12"/>
  <c r="M22" i="12"/>
  <c r="L25" i="12"/>
  <c r="M27" i="12"/>
  <c r="J28" i="12"/>
  <c r="AY28" i="12" s="1"/>
  <c r="H18" i="12"/>
  <c r="F20" i="12"/>
  <c r="J23" i="12"/>
  <c r="AY23" i="12" s="1"/>
  <c r="I26" i="12"/>
  <c r="F27" i="12"/>
  <c r="N27" i="12"/>
  <c r="K28" i="12"/>
  <c r="T26" i="12"/>
  <c r="AJ26" i="12" s="1"/>
  <c r="AN26" i="12" s="1"/>
  <c r="AU19" i="12" l="1"/>
  <c r="BO20" i="12"/>
  <c r="BJ22" i="12"/>
  <c r="BT22" i="12" s="1"/>
  <c r="AZ19" i="12"/>
  <c r="BT19" i="12"/>
  <c r="BQ18" i="12"/>
  <c r="BO21" i="12"/>
  <c r="BE25" i="12"/>
  <c r="CT27" i="12"/>
  <c r="BP23" i="12"/>
  <c r="BE18" i="12"/>
  <c r="AT22" i="12"/>
  <c r="BE22" i="12" s="1"/>
  <c r="CA22" i="12" s="1"/>
  <c r="CK37" i="12" s="1"/>
  <c r="BI23" i="12"/>
  <c r="BA20" i="12"/>
  <c r="BQ19" i="12"/>
  <c r="AU26" i="12"/>
  <c r="BA28" i="12"/>
  <c r="BO26" i="12"/>
  <c r="AT19" i="12"/>
  <c r="BI18" i="12"/>
  <c r="BT18" i="12" s="1"/>
  <c r="CA18" i="12" s="1"/>
  <c r="BE28" i="12"/>
  <c r="BB21" i="12"/>
  <c r="CN20" i="9"/>
  <c r="CZ35" i="9" s="1"/>
  <c r="BQ25" i="9"/>
  <c r="CP25" i="9" s="1"/>
  <c r="CY36" i="9"/>
  <c r="CH27" i="9"/>
  <c r="CH28" i="9"/>
  <c r="CN27" i="9"/>
  <c r="CZ42" i="9" s="1"/>
  <c r="CN25" i="9"/>
  <c r="CY41" i="9"/>
  <c r="CT26" i="9"/>
  <c r="CY26" i="9" s="1"/>
  <c r="CT19" i="9"/>
  <c r="CY19" i="9" s="1"/>
  <c r="BQ21" i="9"/>
  <c r="CP21" i="9" s="1"/>
  <c r="BQ22" i="9"/>
  <c r="CP22" i="9" s="1"/>
  <c r="CN23" i="9"/>
  <c r="CP19" i="9"/>
  <c r="DB34" i="9" s="1"/>
  <c r="CY42" i="9"/>
  <c r="CT27" i="9"/>
  <c r="CY27" i="9" s="1"/>
  <c r="CY40" i="9"/>
  <c r="CT25" i="9"/>
  <c r="CY25" i="9" s="1"/>
  <c r="BQ28" i="9"/>
  <c r="CP28" i="9" s="1"/>
  <c r="CW28" i="9" s="1"/>
  <c r="DB28" i="9" s="1"/>
  <c r="DG43" i="9" s="1"/>
  <c r="BQ20" i="9"/>
  <c r="CP20" i="9" s="1"/>
  <c r="CW20" i="9" s="1"/>
  <c r="DB20" i="9" s="1"/>
  <c r="DG35" i="9" s="1"/>
  <c r="CN22" i="9"/>
  <c r="CU22" i="9" s="1"/>
  <c r="CZ22" i="9" s="1"/>
  <c r="BQ24" i="9"/>
  <c r="CP24" i="9" s="1"/>
  <c r="CW24" i="9" s="1"/>
  <c r="DB24" i="9" s="1"/>
  <c r="DG39" i="9" s="1"/>
  <c r="BQ27" i="9"/>
  <c r="BQ18" i="9"/>
  <c r="CP18" i="9" s="1"/>
  <c r="CW18" i="9" s="1"/>
  <c r="DB18" i="9" s="1"/>
  <c r="DG33" i="9" s="1"/>
  <c r="BQ23" i="9"/>
  <c r="CP23" i="9" s="1"/>
  <c r="CW23" i="9" s="1"/>
  <c r="DB23" i="9" s="1"/>
  <c r="DG38" i="9" s="1"/>
  <c r="CN21" i="9"/>
  <c r="CZ36" i="9" s="1"/>
  <c r="BQ26" i="9"/>
  <c r="CP26" i="9" s="1"/>
  <c r="DB41" i="9" s="1"/>
  <c r="CN18" i="9"/>
  <c r="E21" i="14"/>
  <c r="BE12" i="9" s="1"/>
  <c r="E19" i="14"/>
  <c r="H21" i="14"/>
  <c r="E15" i="14"/>
  <c r="CZ40" i="9"/>
  <c r="CU25" i="9"/>
  <c r="CZ25" i="9" s="1"/>
  <c r="DB43" i="9"/>
  <c r="CZ43" i="9"/>
  <c r="CU28" i="9"/>
  <c r="CZ28" i="9" s="1"/>
  <c r="CU20" i="9"/>
  <c r="CZ20" i="9" s="1"/>
  <c r="CZ41" i="9"/>
  <c r="CU26" i="9"/>
  <c r="CZ26" i="9" s="1"/>
  <c r="CZ37" i="9"/>
  <c r="CY39" i="9"/>
  <c r="CT24" i="9"/>
  <c r="CY24" i="9" s="1"/>
  <c r="CF24" i="9"/>
  <c r="CN24" i="9" s="1"/>
  <c r="CU21" i="9"/>
  <c r="CZ21" i="9" s="1"/>
  <c r="CU23" i="9"/>
  <c r="CZ23" i="9" s="1"/>
  <c r="CZ38" i="9"/>
  <c r="CY38" i="9"/>
  <c r="CT23" i="9"/>
  <c r="CY23" i="9" s="1"/>
  <c r="CH41" i="12"/>
  <c r="BA22" i="12"/>
  <c r="CH36" i="12"/>
  <c r="BR19" i="12"/>
  <c r="BT25" i="12"/>
  <c r="CA25" i="12" s="1"/>
  <c r="BJ23" i="12"/>
  <c r="BT23" i="12" s="1"/>
  <c r="AU23" i="12"/>
  <c r="BE23" i="12" s="1"/>
  <c r="AU21" i="12"/>
  <c r="BE21" i="12" s="1"/>
  <c r="AZ23" i="12"/>
  <c r="BT21" i="12"/>
  <c r="BA18" i="12"/>
  <c r="CG41" i="12"/>
  <c r="CG33" i="12"/>
  <c r="BO25" i="12"/>
  <c r="AZ25" i="12"/>
  <c r="CG37" i="12"/>
  <c r="CT22" i="12" s="1"/>
  <c r="BM20" i="12"/>
  <c r="AX20" i="12"/>
  <c r="BG20" i="12" s="1"/>
  <c r="O18" i="12"/>
  <c r="AW18" i="12"/>
  <c r="BR24" i="12"/>
  <c r="BC24" i="12"/>
  <c r="BG19" i="12"/>
  <c r="BP21" i="12"/>
  <c r="BA21" i="12"/>
  <c r="CH43" i="12"/>
  <c r="CT28" i="12" s="1"/>
  <c r="BO18" i="12"/>
  <c r="AZ18" i="12"/>
  <c r="BB23" i="12"/>
  <c r="BQ23" i="12"/>
  <c r="BE19" i="12"/>
  <c r="CA19" i="12" s="1"/>
  <c r="BQ22" i="12"/>
  <c r="BB22" i="12"/>
  <c r="BM22" i="12"/>
  <c r="AX22" i="12"/>
  <c r="BO28" i="12"/>
  <c r="AZ28" i="12"/>
  <c r="AU24" i="12"/>
  <c r="BJ24" i="12"/>
  <c r="BT24" i="12" s="1"/>
  <c r="AW23" i="12"/>
  <c r="O23" i="12"/>
  <c r="AX27" i="12"/>
  <c r="BM27" i="12"/>
  <c r="BB28" i="12"/>
  <c r="BQ28" i="12"/>
  <c r="O24" i="12"/>
  <c r="CT20" i="12"/>
  <c r="BP27" i="12"/>
  <c r="BA27" i="12"/>
  <c r="BJ20" i="12"/>
  <c r="BT20" i="12" s="1"/>
  <c r="AU20" i="12"/>
  <c r="BE20" i="12" s="1"/>
  <c r="BR27" i="12"/>
  <c r="BC27" i="12"/>
  <c r="BQ27" i="12"/>
  <c r="BB27" i="12"/>
  <c r="CG36" i="12"/>
  <c r="BM23" i="12"/>
  <c r="AX23" i="12"/>
  <c r="BR21" i="12"/>
  <c r="BC21" i="12"/>
  <c r="BR26" i="12"/>
  <c r="BC26" i="12"/>
  <c r="BQ26" i="12"/>
  <c r="BB26" i="12"/>
  <c r="BT28" i="12"/>
  <c r="CA28" i="12" s="1"/>
  <c r="AW22" i="12"/>
  <c r="O22" i="12"/>
  <c r="CT18" i="12"/>
  <c r="AU27" i="12"/>
  <c r="BE27" i="12" s="1"/>
  <c r="BJ27" i="12"/>
  <c r="BT27" i="12" s="1"/>
  <c r="BI26" i="12"/>
  <c r="BT26" i="12" s="1"/>
  <c r="AT26" i="12"/>
  <c r="BE26" i="12" s="1"/>
  <c r="BB24" i="12"/>
  <c r="BQ24" i="12"/>
  <c r="O28" i="12"/>
  <c r="AW28" i="12"/>
  <c r="BM26" i="12"/>
  <c r="AX26" i="12"/>
  <c r="BP25" i="12"/>
  <c r="BA25" i="12"/>
  <c r="BM28" i="12"/>
  <c r="AX28" i="12"/>
  <c r="O25" i="12"/>
  <c r="AW25" i="12"/>
  <c r="BP24" i="12"/>
  <c r="BA24" i="12"/>
  <c r="CI38" i="12"/>
  <c r="CT23" i="12" s="1"/>
  <c r="AW27" i="12"/>
  <c r="O27" i="12"/>
  <c r="BQ25" i="12"/>
  <c r="BB25" i="12"/>
  <c r="CT24" i="12"/>
  <c r="CI40" i="12"/>
  <c r="CT25" i="12" s="1"/>
  <c r="BM25" i="12"/>
  <c r="AX25" i="12"/>
  <c r="BO24" i="12"/>
  <c r="AZ24" i="12"/>
  <c r="BA26" i="12"/>
  <c r="BP26" i="12"/>
  <c r="CT19" i="12"/>
  <c r="O20" i="12"/>
  <c r="CI36" i="12"/>
  <c r="AW21" i="12"/>
  <c r="O21" i="12"/>
  <c r="O26" i="12"/>
  <c r="AW26" i="12"/>
  <c r="BE24" i="12"/>
  <c r="BR18" i="12"/>
  <c r="BC18" i="12"/>
  <c r="BC28" i="12"/>
  <c r="BR28" i="12"/>
  <c r="BR23" i="12"/>
  <c r="BC23" i="12"/>
  <c r="O19" i="12"/>
  <c r="BV20" i="12" l="1"/>
  <c r="CA21" i="12"/>
  <c r="CK36" i="12" s="1"/>
  <c r="BV19" i="12"/>
  <c r="BV18" i="12"/>
  <c r="CA20" i="12"/>
  <c r="BV21" i="12"/>
  <c r="CT26" i="12"/>
  <c r="BG22" i="12"/>
  <c r="CC22" i="12" s="1"/>
  <c r="CI22" i="12" s="1"/>
  <c r="CM22" i="12" s="1"/>
  <c r="CR37" i="12" s="1"/>
  <c r="CA26" i="12"/>
  <c r="CK41" i="12" s="1"/>
  <c r="BG24" i="12"/>
  <c r="CW25" i="9"/>
  <c r="DB25" i="9" s="1"/>
  <c r="DG40" i="9" s="1"/>
  <c r="DB40" i="9"/>
  <c r="CP27" i="9"/>
  <c r="DB42" i="9" s="1"/>
  <c r="CU27" i="9"/>
  <c r="CZ27" i="9" s="1"/>
  <c r="DB38" i="9"/>
  <c r="CW21" i="9"/>
  <c r="DB21" i="9" s="1"/>
  <c r="DG36" i="9" s="1"/>
  <c r="DB36" i="9"/>
  <c r="CW26" i="9"/>
  <c r="DB26" i="9" s="1"/>
  <c r="DG41" i="9" s="1"/>
  <c r="CW27" i="9"/>
  <c r="DB27" i="9" s="1"/>
  <c r="DG42" i="9" s="1"/>
  <c r="DB33" i="9"/>
  <c r="DB35" i="9"/>
  <c r="DB39" i="9"/>
  <c r="CW19" i="9"/>
  <c r="DB19" i="9" s="1"/>
  <c r="DG34" i="9" s="1"/>
  <c r="CU18" i="9"/>
  <c r="CZ18" i="9" s="1"/>
  <c r="CZ33" i="9"/>
  <c r="AV12" i="12"/>
  <c r="AV24" i="12" s="1"/>
  <c r="BF24" i="12" s="1"/>
  <c r="CB24" i="12" s="1"/>
  <c r="BE25" i="9"/>
  <c r="BP25" i="9" s="1"/>
  <c r="CO25" i="9" s="1"/>
  <c r="BE19" i="9"/>
  <c r="BP19" i="9" s="1"/>
  <c r="CO19" i="9" s="1"/>
  <c r="BE27" i="9"/>
  <c r="BP27" i="9" s="1"/>
  <c r="CO27" i="9" s="1"/>
  <c r="BE20" i="9"/>
  <c r="BP20" i="9" s="1"/>
  <c r="CO20" i="9" s="1"/>
  <c r="BE24" i="9"/>
  <c r="BP24" i="9" s="1"/>
  <c r="CO24" i="9" s="1"/>
  <c r="BE22" i="9"/>
  <c r="BP22" i="9" s="1"/>
  <c r="CO22" i="9" s="1"/>
  <c r="BE28" i="9"/>
  <c r="BP28" i="9" s="1"/>
  <c r="CO28" i="9" s="1"/>
  <c r="BE21" i="9"/>
  <c r="BP21" i="9" s="1"/>
  <c r="CO21" i="9" s="1"/>
  <c r="BE26" i="9"/>
  <c r="BP26" i="9" s="1"/>
  <c r="CO26" i="9" s="1"/>
  <c r="BE23" i="9"/>
  <c r="BP23" i="9" s="1"/>
  <c r="CO23" i="9" s="1"/>
  <c r="BE18" i="9"/>
  <c r="BP18" i="9" s="1"/>
  <c r="CO18" i="9" s="1"/>
  <c r="CZ39" i="9"/>
  <c r="CU24" i="9"/>
  <c r="CZ24" i="9" s="1"/>
  <c r="DB37" i="9"/>
  <c r="CW22" i="9"/>
  <c r="DB22" i="9" s="1"/>
  <c r="DG37" i="9" s="1"/>
  <c r="CK40" i="12"/>
  <c r="CG25" i="12"/>
  <c r="CK25" i="12" s="1"/>
  <c r="CK33" i="12"/>
  <c r="CG18" i="12"/>
  <c r="CK18" i="12" s="1"/>
  <c r="BG27" i="12"/>
  <c r="CA23" i="12"/>
  <c r="CK38" i="12" s="1"/>
  <c r="CC20" i="12"/>
  <c r="CI20" i="12" s="1"/>
  <c r="CM20" i="12" s="1"/>
  <c r="CR35" i="12" s="1"/>
  <c r="CT21" i="12"/>
  <c r="BV22" i="12"/>
  <c r="BG21" i="12"/>
  <c r="BV24" i="12"/>
  <c r="CK43" i="12"/>
  <c r="CG28" i="12"/>
  <c r="CK28" i="12" s="1"/>
  <c r="CC19" i="12"/>
  <c r="BG26" i="12"/>
  <c r="BV28" i="12"/>
  <c r="CG22" i="12"/>
  <c r="CK22" i="12" s="1"/>
  <c r="CA27" i="12"/>
  <c r="BG23" i="12"/>
  <c r="CA24" i="12"/>
  <c r="CC21" i="12"/>
  <c r="BG18" i="12"/>
  <c r="CC18" i="12" s="1"/>
  <c r="BG25" i="12"/>
  <c r="BV26" i="12"/>
  <c r="BG28" i="12"/>
  <c r="CK35" i="12"/>
  <c r="CG20" i="12"/>
  <c r="CK20" i="12" s="1"/>
  <c r="BV23" i="12"/>
  <c r="CK34" i="12"/>
  <c r="CG19" i="12"/>
  <c r="CK19" i="12" s="1"/>
  <c r="BV25" i="12"/>
  <c r="CG21" i="12"/>
  <c r="CK21" i="12" s="1"/>
  <c r="BV27" i="12"/>
  <c r="CG26" i="12"/>
  <c r="CK26" i="12" s="1"/>
  <c r="CC28" i="12" l="1"/>
  <c r="CM43" i="12" s="1"/>
  <c r="CM37" i="12"/>
  <c r="CM35" i="12"/>
  <c r="CC24" i="12"/>
  <c r="AV21" i="12"/>
  <c r="BF21" i="12" s="1"/>
  <c r="CB21" i="12" s="1"/>
  <c r="CL36" i="12" s="1"/>
  <c r="AV20" i="12"/>
  <c r="BF20" i="12" s="1"/>
  <c r="CB20" i="12" s="1"/>
  <c r="CL35" i="12" s="1"/>
  <c r="CU20" i="12" s="1"/>
  <c r="AV25" i="12"/>
  <c r="BF25" i="12" s="1"/>
  <c r="CB25" i="12" s="1"/>
  <c r="CL40" i="12" s="1"/>
  <c r="AV18" i="12"/>
  <c r="BF18" i="12" s="1"/>
  <c r="CB18" i="12" s="1"/>
  <c r="AV27" i="12"/>
  <c r="BF27" i="12" s="1"/>
  <c r="CB27" i="12" s="1"/>
  <c r="CH27" i="12" s="1"/>
  <c r="CL27" i="12" s="1"/>
  <c r="CS42" i="12" s="1"/>
  <c r="AV28" i="12"/>
  <c r="BF28" i="12" s="1"/>
  <c r="CB28" i="12" s="1"/>
  <c r="CH28" i="12" s="1"/>
  <c r="CL28" i="12" s="1"/>
  <c r="CS43" i="12" s="1"/>
  <c r="AV22" i="12"/>
  <c r="BF22" i="12" s="1"/>
  <c r="CB22" i="12" s="1"/>
  <c r="CL37" i="12" s="1"/>
  <c r="AV26" i="12"/>
  <c r="BF26" i="12" s="1"/>
  <c r="CB26" i="12" s="1"/>
  <c r="CL41" i="12" s="1"/>
  <c r="AV19" i="12"/>
  <c r="BF19" i="12" s="1"/>
  <c r="CB19" i="12" s="1"/>
  <c r="CH19" i="12" s="1"/>
  <c r="CL19" i="12" s="1"/>
  <c r="CS34" i="12" s="1"/>
  <c r="AV23" i="12"/>
  <c r="BF23" i="12" s="1"/>
  <c r="CB23" i="12" s="1"/>
  <c r="CL38" i="12" s="1"/>
  <c r="DA34" i="9"/>
  <c r="DJ19" i="9" s="1"/>
  <c r="CV19" i="9"/>
  <c r="DA19" i="9" s="1"/>
  <c r="CV26" i="9"/>
  <c r="DA26" i="9" s="1"/>
  <c r="DA41" i="9"/>
  <c r="DJ26" i="9" s="1"/>
  <c r="CV25" i="9"/>
  <c r="DA25" i="9" s="1"/>
  <c r="DA40" i="9"/>
  <c r="DJ25" i="9" s="1"/>
  <c r="CV18" i="9"/>
  <c r="DA18" i="9" s="1"/>
  <c r="DA33" i="9"/>
  <c r="DJ18" i="9" s="1"/>
  <c r="DA36" i="9"/>
  <c r="DJ21" i="9" s="1"/>
  <c r="CV21" i="9"/>
  <c r="DA21" i="9" s="1"/>
  <c r="DA38" i="9"/>
  <c r="DJ23" i="9" s="1"/>
  <c r="CV23" i="9"/>
  <c r="DA23" i="9" s="1"/>
  <c r="DA43" i="9"/>
  <c r="DJ28" i="9" s="1"/>
  <c r="CV28" i="9"/>
  <c r="DA28" i="9" s="1"/>
  <c r="DA42" i="9"/>
  <c r="DJ27" i="9" s="1"/>
  <c r="CV27" i="9"/>
  <c r="DA27" i="9" s="1"/>
  <c r="DA37" i="9"/>
  <c r="DJ22" i="9" s="1"/>
  <c r="CV22" i="9"/>
  <c r="DA22" i="9" s="1"/>
  <c r="DF37" i="9" s="1"/>
  <c r="CH22" i="12"/>
  <c r="CL22" i="12" s="1"/>
  <c r="CS37" i="12" s="1"/>
  <c r="CV24" i="9"/>
  <c r="DA24" i="9" s="1"/>
  <c r="DF39" i="9" s="1"/>
  <c r="DA39" i="9"/>
  <c r="DJ24" i="9" s="1"/>
  <c r="DA35" i="9"/>
  <c r="DJ20" i="9" s="1"/>
  <c r="CV20" i="9"/>
  <c r="DA20" i="9" s="1"/>
  <c r="CL39" i="12"/>
  <c r="CH24" i="12"/>
  <c r="CL24" i="12" s="1"/>
  <c r="CS39" i="12" s="1"/>
  <c r="CG23" i="12"/>
  <c r="CK23" i="12" s="1"/>
  <c r="CC27" i="12"/>
  <c r="CI27" i="12" s="1"/>
  <c r="CM27" i="12" s="1"/>
  <c r="CR42" i="12" s="1"/>
  <c r="CC23" i="12"/>
  <c r="CM38" i="12" s="1"/>
  <c r="CM39" i="12"/>
  <c r="CI24" i="12"/>
  <c r="CM24" i="12" s="1"/>
  <c r="CR39" i="12" s="1"/>
  <c r="CM36" i="12"/>
  <c r="CI21" i="12"/>
  <c r="CM21" i="12" s="1"/>
  <c r="CR36" i="12" s="1"/>
  <c r="CK42" i="12"/>
  <c r="CG27" i="12"/>
  <c r="CK27" i="12" s="1"/>
  <c r="CC25" i="12"/>
  <c r="CC26" i="12"/>
  <c r="CM33" i="12"/>
  <c r="CI18" i="12"/>
  <c r="CM18" i="12" s="1"/>
  <c r="CM34" i="12"/>
  <c r="CI19" i="12"/>
  <c r="CM19" i="12" s="1"/>
  <c r="CR34" i="12" s="1"/>
  <c r="CK39" i="12"/>
  <c r="CG24" i="12"/>
  <c r="CK24" i="12" s="1"/>
  <c r="CL34" i="12" l="1"/>
  <c r="CH26" i="12"/>
  <c r="CL26" i="12" s="1"/>
  <c r="CS41" i="12" s="1"/>
  <c r="CL42" i="12"/>
  <c r="CI28" i="12"/>
  <c r="CM28" i="12" s="1"/>
  <c r="CR43" i="12" s="1"/>
  <c r="CH23" i="12"/>
  <c r="CL23" i="12" s="1"/>
  <c r="CS38" i="12" s="1"/>
  <c r="CH21" i="12"/>
  <c r="CL21" i="12" s="1"/>
  <c r="CS36" i="12" s="1"/>
  <c r="CI23" i="12"/>
  <c r="CM23" i="12" s="1"/>
  <c r="CR38" i="12" s="1"/>
  <c r="CM42" i="12"/>
  <c r="CU27" i="12" s="1"/>
  <c r="CU22" i="12"/>
  <c r="CH20" i="12"/>
  <c r="CL20" i="12" s="1"/>
  <c r="CS35" i="12" s="1"/>
  <c r="CL43" i="12"/>
  <c r="CH25" i="12"/>
  <c r="CL25" i="12" s="1"/>
  <c r="CS40" i="12" s="1"/>
  <c r="CU23" i="12"/>
  <c r="CU28" i="12"/>
  <c r="CL33" i="12"/>
  <c r="CU18" i="12" s="1"/>
  <c r="CH18" i="12"/>
  <c r="CL18" i="12" s="1"/>
  <c r="CS33" i="12" s="1"/>
  <c r="DF40" i="9"/>
  <c r="DH25" i="9"/>
  <c r="DF36" i="9"/>
  <c r="DH21" i="9"/>
  <c r="CS22" i="12"/>
  <c r="DF43" i="9"/>
  <c r="DH28" i="9"/>
  <c r="DF41" i="9"/>
  <c r="DH26" i="9"/>
  <c r="CU19" i="12"/>
  <c r="DF34" i="9"/>
  <c r="DH19" i="9"/>
  <c r="DF35" i="9"/>
  <c r="DH20" i="9"/>
  <c r="CU21" i="12"/>
  <c r="DF38" i="9"/>
  <c r="DH23" i="9"/>
  <c r="DF33" i="9"/>
  <c r="DH18" i="9"/>
  <c r="DF42" i="9"/>
  <c r="DH27" i="9"/>
  <c r="DH22" i="9"/>
  <c r="DH24" i="9"/>
  <c r="CS21" i="12"/>
  <c r="CS28" i="12"/>
  <c r="CR33" i="12"/>
  <c r="CM41" i="12"/>
  <c r="CU26" i="12" s="1"/>
  <c r="CI26" i="12"/>
  <c r="CM26" i="12" s="1"/>
  <c r="CR41" i="12" s="1"/>
  <c r="CS24" i="12"/>
  <c r="CM40" i="12"/>
  <c r="CU25" i="12" s="1"/>
  <c r="CI25" i="12"/>
  <c r="CM25" i="12" s="1"/>
  <c r="CR40" i="12" s="1"/>
  <c r="CU24" i="12"/>
  <c r="CS27" i="12"/>
  <c r="CS19" i="12"/>
  <c r="CS23" i="12" l="1"/>
  <c r="CS20" i="12"/>
  <c r="CS18" i="12"/>
  <c r="CS26" i="12"/>
  <c r="CS25" i="12"/>
</calcChain>
</file>

<file path=xl/sharedStrings.xml><?xml version="1.0" encoding="utf-8"?>
<sst xmlns="http://schemas.openxmlformats.org/spreadsheetml/2006/main" count="503" uniqueCount="126">
  <si>
    <t>Ph Ex = (H - H0) - T0 (S-S0)</t>
  </si>
  <si>
    <t>H</t>
  </si>
  <si>
    <t>H0</t>
  </si>
  <si>
    <t>T0</t>
  </si>
  <si>
    <t>S</t>
  </si>
  <si>
    <t>S0</t>
  </si>
  <si>
    <t>[kJ/mol]</t>
  </si>
  <si>
    <t>R</t>
  </si>
  <si>
    <t>sigma (yi(ln(yi))</t>
  </si>
  <si>
    <t>Che ex= sigma (yi.exi)+R.T0.sigma(yi(ln(yi))</t>
  </si>
  <si>
    <t>-H2O</t>
  </si>
  <si>
    <t>-N2</t>
  </si>
  <si>
    <t>-H2</t>
  </si>
  <si>
    <t>-CO</t>
  </si>
  <si>
    <t>-CO2</t>
  </si>
  <si>
    <t>-CH4</t>
  </si>
  <si>
    <t>-O2</t>
  </si>
  <si>
    <t>m</t>
  </si>
  <si>
    <t>LHV</t>
  </si>
  <si>
    <t>beta</t>
  </si>
  <si>
    <t>kg/hr</t>
  </si>
  <si>
    <t>kJ/kg</t>
  </si>
  <si>
    <t>chem-ex</t>
  </si>
  <si>
    <t>kJ/hr</t>
  </si>
  <si>
    <t>CARBON</t>
  </si>
  <si>
    <t>HYDROGEN</t>
  </si>
  <si>
    <t>NITROGEN</t>
  </si>
  <si>
    <t>SULFUR</t>
  </si>
  <si>
    <t>OXYGEN</t>
  </si>
  <si>
    <t>ultanal</t>
  </si>
  <si>
    <t>BM</t>
  </si>
  <si>
    <t>real mass (kg/hr)</t>
  </si>
  <si>
    <t>mol flow (kmol/hr)</t>
  </si>
  <si>
    <t>kmol/s</t>
  </si>
  <si>
    <t>kmol/hr</t>
  </si>
  <si>
    <t>mol/hr</t>
  </si>
  <si>
    <t>kJ/mol</t>
  </si>
  <si>
    <t>mol/s</t>
  </si>
  <si>
    <t>kJ/s</t>
  </si>
  <si>
    <t>BM biomass</t>
  </si>
  <si>
    <t>mol frac (%)</t>
  </si>
  <si>
    <t>Bm. Mol/frac</t>
  </si>
  <si>
    <t>AIR</t>
  </si>
  <si>
    <t>H2O</t>
  </si>
  <si>
    <t>N2</t>
  </si>
  <si>
    <t>O2</t>
  </si>
  <si>
    <t>H2</t>
  </si>
  <si>
    <t>CO</t>
  </si>
  <si>
    <t>CO2</t>
  </si>
  <si>
    <t>CH4</t>
  </si>
  <si>
    <t>ASH</t>
  </si>
  <si>
    <t>-Indole</t>
  </si>
  <si>
    <t>Row/Case</t>
  </si>
  <si>
    <t>Status</t>
  </si>
  <si>
    <t>VARY   1</t>
  </si>
  <si>
    <t xml:space="preserve">ENTRAIR </t>
  </si>
  <si>
    <t xml:space="preserve">AIR     </t>
  </si>
  <si>
    <t xml:space="preserve">MIXED   </t>
  </si>
  <si>
    <t xml:space="preserve">TOTAL MASSFLOW  </t>
  </si>
  <si>
    <t>KG/SEC</t>
  </si>
  <si>
    <t>K</t>
  </si>
  <si>
    <t>OK</t>
  </si>
  <si>
    <t>Warnings</t>
  </si>
  <si>
    <t>(yi(ln(yi))</t>
  </si>
  <si>
    <t>KMOL/SEC</t>
  </si>
  <si>
    <t>exergy of biomass</t>
  </si>
  <si>
    <t xml:space="preserve">STEAM   </t>
  </si>
  <si>
    <t xml:space="preserve">FLOSTEM </t>
  </si>
  <si>
    <t>FLOO2AIR</t>
  </si>
  <si>
    <t>FLON2AIR</t>
  </si>
  <si>
    <t xml:space="preserve">FLOLIQ  </t>
  </si>
  <si>
    <t xml:space="preserve">FLOASH  </t>
  </si>
  <si>
    <t xml:space="preserve">FLOH2OG </t>
  </si>
  <si>
    <t xml:space="preserve">FLON2G  </t>
  </si>
  <si>
    <t xml:space="preserve">FLOO2G  </t>
  </si>
  <si>
    <t xml:space="preserve">FLOH2G  </t>
  </si>
  <si>
    <t xml:space="preserve">FLOCOG  </t>
  </si>
  <si>
    <t xml:space="preserve">FLOCO2G </t>
  </si>
  <si>
    <t xml:space="preserve">FLOCH4G </t>
  </si>
  <si>
    <t>Reactant</t>
  </si>
  <si>
    <t>Product</t>
  </si>
  <si>
    <t xml:space="preserve">ENTLAIR </t>
  </si>
  <si>
    <t xml:space="preserve">ENTLLIQ </t>
  </si>
  <si>
    <t xml:space="preserve">ENTLGAS </t>
  </si>
  <si>
    <t>ENTLLIQC</t>
  </si>
  <si>
    <t>ENTLGASC</t>
  </si>
  <si>
    <t xml:space="preserve">ENTRLIQ </t>
  </si>
  <si>
    <t xml:space="preserve">ENTRGAS </t>
  </si>
  <si>
    <t>ENTRLIQC</t>
  </si>
  <si>
    <t>ENTRGASC</t>
  </si>
  <si>
    <t>J/KMOL</t>
  </si>
  <si>
    <t>J/KMOL-K</t>
  </si>
  <si>
    <t>ENTLSTAM</t>
  </si>
  <si>
    <t>ENTRSTAM</t>
  </si>
  <si>
    <t>ENTLSTMC</t>
  </si>
  <si>
    <t>ENTRSTMC</t>
  </si>
  <si>
    <t>ENTLAIRC</t>
  </si>
  <si>
    <t xml:space="preserve">ENTRAIRC </t>
  </si>
  <si>
    <t>steam</t>
  </si>
  <si>
    <t>air</t>
  </si>
  <si>
    <t>liquid</t>
  </si>
  <si>
    <t>gas</t>
  </si>
  <si>
    <t>J/kmol</t>
  </si>
  <si>
    <t>Liquid</t>
  </si>
  <si>
    <t>Indole</t>
  </si>
  <si>
    <t>Gas</t>
  </si>
  <si>
    <t>(yi.exi)</t>
  </si>
  <si>
    <t>sigma(yi.exi)</t>
  </si>
  <si>
    <t xml:space="preserve">T0 </t>
  </si>
  <si>
    <t>[kJ/K.mol]</t>
  </si>
  <si>
    <t>total ex= physical+chemical</t>
  </si>
  <si>
    <t>efficiency (%)</t>
  </si>
  <si>
    <t>physical*flow</t>
  </si>
  <si>
    <t>chemical*flow</t>
  </si>
  <si>
    <t>dikali flow (*1000)</t>
  </si>
  <si>
    <t xml:space="preserve">Air (kg/s)  </t>
  </si>
  <si>
    <t xml:space="preserve">H2O MASSFLOW    </t>
  </si>
  <si>
    <t>c8h7n</t>
  </si>
  <si>
    <t>chem ex</t>
  </si>
  <si>
    <t>Biomass</t>
  </si>
  <si>
    <t>Physical efficiency (%)</t>
  </si>
  <si>
    <t>Total efficiency (%)</t>
  </si>
  <si>
    <t>Chemical efficiency (%)</t>
  </si>
  <si>
    <t>Biomassa</t>
  </si>
  <si>
    <t>kg/s</t>
  </si>
  <si>
    <t>S/C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</si>
</sst>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6">
    <xf numFmtId="0" fontId="0" fillId="0" borderId="0" xfId="0"/>
    <xf numFmtId="0" fontId="3" fillId="0" borderId="0" xfId="0" applyFont="1"/>
    <xf numFmtId="10" fontId="0" fillId="0" borderId="0" xfId="1" applyNumberFormat="1" applyFont="1"/>
    <xf numFmtId="0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/>
    <xf numFmtId="164" fontId="0" fillId="0" borderId="1" xfId="1" applyNumberFormat="1" applyFont="1" applyBorder="1" applyAlignment="1">
      <alignment horizontal="center"/>
    </xf>
    <xf numFmtId="164" fontId="0" fillId="0" borderId="0" xfId="0" applyNumberFormat="1"/>
    <xf numFmtId="0" fontId="0" fillId="0" borderId="0" xfId="0" applyFill="1" applyBorder="1" applyAlignment="1">
      <alignment horizontal="center"/>
    </xf>
    <xf numFmtId="0" fontId="0" fillId="2" borderId="0" xfId="0" applyFill="1"/>
    <xf numFmtId="11" fontId="0" fillId="2" borderId="0" xfId="0" applyNumberFormat="1" applyFill="1"/>
    <xf numFmtId="0" fontId="0" fillId="3" borderId="0" xfId="0" applyFill="1"/>
    <xf numFmtId="9" fontId="0" fillId="0" borderId="0" xfId="1" applyFont="1"/>
    <xf numFmtId="164" fontId="0" fillId="0" borderId="0" xfId="1" applyNumberFormat="1" applyFont="1"/>
    <xf numFmtId="9" fontId="0" fillId="0" borderId="0" xfId="1" applyNumberFormat="1" applyFont="1"/>
    <xf numFmtId="9" fontId="0" fillId="0" borderId="0" xfId="0" applyNumberFormat="1"/>
    <xf numFmtId="0" fontId="0" fillId="4" borderId="0" xfId="0" applyFill="1" applyAlignment="1"/>
    <xf numFmtId="0" fontId="0" fillId="4" borderId="0" xfId="0" applyFill="1" applyAlignment="1">
      <alignment horizontal="center"/>
    </xf>
    <xf numFmtId="0" fontId="0" fillId="5" borderId="0" xfId="0" applyFill="1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right"/>
    </xf>
    <xf numFmtId="0" fontId="4" fillId="0" borderId="2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0" fillId="6" borderId="0" xfId="0" applyFill="1"/>
    <xf numFmtId="0" fontId="0" fillId="5" borderId="0" xfId="0" applyFill="1" applyAlignment="1"/>
    <xf numFmtId="0" fontId="0" fillId="7" borderId="0" xfId="0" applyFill="1"/>
    <xf numFmtId="2" fontId="0" fillId="0" borderId="0" xfId="0" applyNumberFormat="1"/>
    <xf numFmtId="0" fontId="0" fillId="8" borderId="0" xfId="0" applyFill="1"/>
    <xf numFmtId="0" fontId="0" fillId="9" borderId="0" xfId="0" applyFill="1"/>
    <xf numFmtId="165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4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5" borderId="0" xfId="0" applyFill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'exergy steam'!$DG$17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'exergy steam'!$DF$18:$DF$28</c:f>
              <c:numCache>
                <c:formatCode>0.000</c:formatCode>
                <c:ptCount val="11"/>
                <c:pt idx="0">
                  <c:v>0</c:v>
                </c:pt>
                <c:pt idx="1">
                  <c:v>5.8965517241379307E-2</c:v>
                </c:pt>
                <c:pt idx="2">
                  <c:v>0.11793103448275861</c:v>
                </c:pt>
                <c:pt idx="3">
                  <c:v>0.17689655172413796</c:v>
                </c:pt>
                <c:pt idx="4">
                  <c:v>0.23586206896551723</c:v>
                </c:pt>
                <c:pt idx="5">
                  <c:v>0.29482758620689653</c:v>
                </c:pt>
                <c:pt idx="6">
                  <c:v>0.35379310344827591</c:v>
                </c:pt>
                <c:pt idx="7">
                  <c:v>0.41275862068965519</c:v>
                </c:pt>
                <c:pt idx="8">
                  <c:v>0.47172413793103446</c:v>
                </c:pt>
                <c:pt idx="9">
                  <c:v>0.53068965517241384</c:v>
                </c:pt>
                <c:pt idx="10">
                  <c:v>0.58965517241379306</c:v>
                </c:pt>
              </c:numCache>
            </c:numRef>
          </c:cat>
          <c:val>
            <c:numRef>
              <c:f>'exergy steam'!$DG$18:$DG$28</c:f>
              <c:numCache>
                <c:formatCode>General</c:formatCode>
                <c:ptCount val="1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6836496"/>
        <c:axId val="366834928"/>
      </c:barChart>
      <c:lineChart>
        <c:grouping val="standard"/>
        <c:varyColors val="0"/>
        <c:ser>
          <c:idx val="1"/>
          <c:order val="1"/>
          <c:tx>
            <c:strRef>
              <c:f>'exergy steam'!$DH$17</c:f>
              <c:strCache>
                <c:ptCount val="1"/>
                <c:pt idx="0">
                  <c:v>efficiency (%)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'exergy steam'!$DF$18:$DF$28</c:f>
              <c:numCache>
                <c:formatCode>0.000</c:formatCode>
                <c:ptCount val="11"/>
                <c:pt idx="0">
                  <c:v>0</c:v>
                </c:pt>
                <c:pt idx="1">
                  <c:v>5.8965517241379307E-2</c:v>
                </c:pt>
                <c:pt idx="2">
                  <c:v>0.11793103448275861</c:v>
                </c:pt>
                <c:pt idx="3">
                  <c:v>0.17689655172413796</c:v>
                </c:pt>
                <c:pt idx="4">
                  <c:v>0.23586206896551723</c:v>
                </c:pt>
                <c:pt idx="5">
                  <c:v>0.29482758620689653</c:v>
                </c:pt>
                <c:pt idx="6">
                  <c:v>0.35379310344827591</c:v>
                </c:pt>
                <c:pt idx="7">
                  <c:v>0.41275862068965519</c:v>
                </c:pt>
                <c:pt idx="8">
                  <c:v>0.47172413793103446</c:v>
                </c:pt>
                <c:pt idx="9">
                  <c:v>0.53068965517241384</c:v>
                </c:pt>
                <c:pt idx="10">
                  <c:v>0.58965517241379306</c:v>
                </c:pt>
              </c:numCache>
            </c:numRef>
          </c:cat>
          <c:val>
            <c:numRef>
              <c:f>'exergy steam'!$DH$18:$DH$28</c:f>
              <c:numCache>
                <c:formatCode>0.0%</c:formatCode>
                <c:ptCount val="11"/>
                <c:pt idx="0">
                  <c:v>0.83262806698209679</c:v>
                </c:pt>
                <c:pt idx="1">
                  <c:v>0.82844620507809885</c:v>
                </c:pt>
                <c:pt idx="2">
                  <c:v>0.8320865568790492</c:v>
                </c:pt>
                <c:pt idx="3">
                  <c:v>0.83913041574228575</c:v>
                </c:pt>
                <c:pt idx="4">
                  <c:v>0.84410993048518124</c:v>
                </c:pt>
                <c:pt idx="5">
                  <c:v>0.84371604870475991</c:v>
                </c:pt>
                <c:pt idx="6">
                  <c:v>0.84147483975903115</c:v>
                </c:pt>
                <c:pt idx="7">
                  <c:v>0.83882781173984677</c:v>
                </c:pt>
                <c:pt idx="8">
                  <c:v>0.83607993410962567</c:v>
                </c:pt>
                <c:pt idx="9">
                  <c:v>0.83333406049837955</c:v>
                </c:pt>
                <c:pt idx="10">
                  <c:v>0.83063958523880232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6837280"/>
        <c:axId val="366837672"/>
      </c:lineChart>
      <c:catAx>
        <c:axId val="3668372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S/C ratio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6837672"/>
        <c:crosses val="autoZero"/>
        <c:auto val="1"/>
        <c:lblAlgn val="ctr"/>
        <c:lblOffset val="100"/>
        <c:tickMarkSkip val="1"/>
        <c:noMultiLvlLbl val="0"/>
      </c:catAx>
      <c:valAx>
        <c:axId val="36683767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Exergy efficiency (%)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%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6837280"/>
        <c:crosses val="autoZero"/>
        <c:crossBetween val="between"/>
      </c:valAx>
      <c:valAx>
        <c:axId val="36683492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Temperature (K)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6836496"/>
        <c:crosses val="max"/>
        <c:crossBetween val="between"/>
      </c:valAx>
      <c:catAx>
        <c:axId val="366836496"/>
        <c:scaling>
          <c:orientation val="minMax"/>
        </c:scaling>
        <c:delete val="1"/>
        <c:axPos val="b"/>
        <c:numFmt formatCode="0.000" sourceLinked="1"/>
        <c:majorTickMark val="out"/>
        <c:minorTickMark val="none"/>
        <c:tickLblPos val="nextTo"/>
        <c:crossAx val="3668349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ayout>
        <c:manualLayout>
          <c:xMode val="edge"/>
          <c:yMode val="edge"/>
          <c:x val="0.28667935258092736"/>
          <c:y val="6.5392971711869308E-2"/>
          <c:w val="0.45441885389326342"/>
          <c:h val="7.8125546806649182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2"/>
          <c:order val="1"/>
          <c:tx>
            <c:strRef>
              <c:f>'exergy steam'!$DI$17</c:f>
              <c:strCache>
                <c:ptCount val="1"/>
                <c:pt idx="0">
                  <c:v>Physical efficiency (%)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'exergy steam'!$DF$18:$DF$28</c:f>
              <c:numCache>
                <c:formatCode>0.000</c:formatCode>
                <c:ptCount val="11"/>
                <c:pt idx="0">
                  <c:v>0</c:v>
                </c:pt>
                <c:pt idx="1">
                  <c:v>5.8965517241379307E-2</c:v>
                </c:pt>
                <c:pt idx="2">
                  <c:v>0.11793103448275861</c:v>
                </c:pt>
                <c:pt idx="3">
                  <c:v>0.17689655172413796</c:v>
                </c:pt>
                <c:pt idx="4">
                  <c:v>0.23586206896551723</c:v>
                </c:pt>
                <c:pt idx="5">
                  <c:v>0.29482758620689653</c:v>
                </c:pt>
                <c:pt idx="6">
                  <c:v>0.35379310344827591</c:v>
                </c:pt>
                <c:pt idx="7">
                  <c:v>0.41275862068965519</c:v>
                </c:pt>
                <c:pt idx="8">
                  <c:v>0.47172413793103446</c:v>
                </c:pt>
                <c:pt idx="9">
                  <c:v>0.53068965517241384</c:v>
                </c:pt>
                <c:pt idx="10">
                  <c:v>0.58965517241379306</c:v>
                </c:pt>
              </c:numCache>
            </c:numRef>
          </c:cat>
          <c:val>
            <c:numRef>
              <c:f>'exergy steam'!$DI$18:$DI$28</c:f>
              <c:numCache>
                <c:formatCode>0.0%</c:formatCode>
                <c:ptCount val="11"/>
                <c:pt idx="0">
                  <c:v>5.5392728042669113E-2</c:v>
                </c:pt>
                <c:pt idx="1">
                  <c:v>5.3560650957435327E-2</c:v>
                </c:pt>
                <c:pt idx="2">
                  <c:v>4.8876058806951506E-2</c:v>
                </c:pt>
                <c:pt idx="3">
                  <c:v>4.2405222595618242E-2</c:v>
                </c:pt>
                <c:pt idx="4">
                  <c:v>3.6667179428114954E-2</c:v>
                </c:pt>
                <c:pt idx="5">
                  <c:v>3.4923626500596688E-2</c:v>
                </c:pt>
                <c:pt idx="6">
                  <c:v>3.4758565212661664E-2</c:v>
                </c:pt>
                <c:pt idx="7">
                  <c:v>3.4989889402521172E-2</c:v>
                </c:pt>
                <c:pt idx="8">
                  <c:v>3.5344573523649683E-2</c:v>
                </c:pt>
                <c:pt idx="9">
                  <c:v>3.5722150524192926E-2</c:v>
                </c:pt>
                <c:pt idx="10">
                  <c:v>3.6069273565971949E-2</c:v>
                </c:pt>
              </c:numCache>
            </c:numRef>
          </c:val>
        </c:ser>
        <c:ser>
          <c:idx val="3"/>
          <c:order val="2"/>
          <c:tx>
            <c:strRef>
              <c:f>'exergy steam'!$DJ$17</c:f>
              <c:strCache>
                <c:ptCount val="1"/>
                <c:pt idx="0">
                  <c:v>Chemical efficiency (%)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'exergy steam'!$DF$18:$DF$28</c:f>
              <c:numCache>
                <c:formatCode>0.000</c:formatCode>
                <c:ptCount val="11"/>
                <c:pt idx="0">
                  <c:v>0</c:v>
                </c:pt>
                <c:pt idx="1">
                  <c:v>5.8965517241379307E-2</c:v>
                </c:pt>
                <c:pt idx="2">
                  <c:v>0.11793103448275861</c:v>
                </c:pt>
                <c:pt idx="3">
                  <c:v>0.17689655172413796</c:v>
                </c:pt>
                <c:pt idx="4">
                  <c:v>0.23586206896551723</c:v>
                </c:pt>
                <c:pt idx="5">
                  <c:v>0.29482758620689653</c:v>
                </c:pt>
                <c:pt idx="6">
                  <c:v>0.35379310344827591</c:v>
                </c:pt>
                <c:pt idx="7">
                  <c:v>0.41275862068965519</c:v>
                </c:pt>
                <c:pt idx="8">
                  <c:v>0.47172413793103446</c:v>
                </c:pt>
                <c:pt idx="9">
                  <c:v>0.53068965517241384</c:v>
                </c:pt>
                <c:pt idx="10">
                  <c:v>0.58965517241379306</c:v>
                </c:pt>
              </c:numCache>
            </c:numRef>
          </c:cat>
          <c:val>
            <c:numRef>
              <c:f>'exergy steam'!$DJ$18:$DJ$28</c:f>
              <c:numCache>
                <c:formatCode>0.0%</c:formatCode>
                <c:ptCount val="11"/>
                <c:pt idx="0">
                  <c:v>0.77723533904663333</c:v>
                </c:pt>
                <c:pt idx="1">
                  <c:v>0.77499708990357341</c:v>
                </c:pt>
                <c:pt idx="2">
                  <c:v>0.78342387186242957</c:v>
                </c:pt>
                <c:pt idx="3">
                  <c:v>0.79702574153995154</c:v>
                </c:pt>
                <c:pt idx="4">
                  <c:v>0.80782007943694523</c:v>
                </c:pt>
                <c:pt idx="5">
                  <c:v>0.80925421839182832</c:v>
                </c:pt>
                <c:pt idx="6">
                  <c:v>0.80726788114584558</c:v>
                </c:pt>
                <c:pt idx="7">
                  <c:v>0.80448123345565736</c:v>
                </c:pt>
                <c:pt idx="8">
                  <c:v>0.80147129686765151</c:v>
                </c:pt>
                <c:pt idx="9">
                  <c:v>0.79844086827355021</c:v>
                </c:pt>
                <c:pt idx="10">
                  <c:v>0.79549223214261366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72034448"/>
        <c:axId val="372030920"/>
      </c:barChart>
      <c:lineChart>
        <c:grouping val="standard"/>
        <c:varyColors val="0"/>
        <c:ser>
          <c:idx val="0"/>
          <c:order val="0"/>
          <c:tx>
            <c:strRef>
              <c:f>'exergy steam'!$DG$17</c:f>
              <c:strCache>
                <c:ptCount val="1"/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'exergy steam'!$DF$18:$DF$28</c:f>
              <c:numCache>
                <c:formatCode>0.000</c:formatCode>
                <c:ptCount val="11"/>
                <c:pt idx="0">
                  <c:v>0</c:v>
                </c:pt>
                <c:pt idx="1">
                  <c:v>5.8965517241379307E-2</c:v>
                </c:pt>
                <c:pt idx="2">
                  <c:v>0.11793103448275861</c:v>
                </c:pt>
                <c:pt idx="3">
                  <c:v>0.17689655172413796</c:v>
                </c:pt>
                <c:pt idx="4">
                  <c:v>0.23586206896551723</c:v>
                </c:pt>
                <c:pt idx="5">
                  <c:v>0.29482758620689653</c:v>
                </c:pt>
                <c:pt idx="6">
                  <c:v>0.35379310344827591</c:v>
                </c:pt>
                <c:pt idx="7">
                  <c:v>0.41275862068965519</c:v>
                </c:pt>
                <c:pt idx="8">
                  <c:v>0.47172413793103446</c:v>
                </c:pt>
                <c:pt idx="9">
                  <c:v>0.53068965517241384</c:v>
                </c:pt>
                <c:pt idx="10">
                  <c:v>0.58965517241379306</c:v>
                </c:pt>
              </c:numCache>
            </c:numRef>
          </c:cat>
          <c:val>
            <c:numRef>
              <c:f>'exergy steam'!$DG$18:$DG$28</c:f>
              <c:numCache>
                <c:formatCode>General</c:formatCode>
                <c:ptCount val="1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2035232"/>
        <c:axId val="372035624"/>
      </c:lineChart>
      <c:catAx>
        <c:axId val="3720344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S/C ratio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2030920"/>
        <c:crosses val="autoZero"/>
        <c:auto val="1"/>
        <c:lblAlgn val="ctr"/>
        <c:lblOffset val="100"/>
        <c:tickMarkSkip val="1"/>
        <c:noMultiLvlLbl val="0"/>
      </c:catAx>
      <c:valAx>
        <c:axId val="37203092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Exergy efficiency (%)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%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2034448"/>
        <c:crosses val="autoZero"/>
        <c:crossBetween val="between"/>
      </c:valAx>
      <c:valAx>
        <c:axId val="37203562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Temperature (K)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2035232"/>
        <c:crosses val="max"/>
        <c:crossBetween val="between"/>
      </c:valAx>
      <c:catAx>
        <c:axId val="372035232"/>
        <c:scaling>
          <c:orientation val="minMax"/>
        </c:scaling>
        <c:delete val="1"/>
        <c:axPos val="b"/>
        <c:numFmt formatCode="0.000" sourceLinked="1"/>
        <c:majorTickMark val="out"/>
        <c:minorTickMark val="none"/>
        <c:tickLblPos val="nextTo"/>
        <c:crossAx val="3720356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8709423770161507"/>
          <c:y val="0.84780037911927675"/>
          <c:w val="0.7133206474190726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'exergy steam'!$DH$17</c:f>
              <c:strCache>
                <c:ptCount val="1"/>
                <c:pt idx="0">
                  <c:v>efficiency (%)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'exergy steam'!$DF$18:$DF$28</c:f>
              <c:numCache>
                <c:formatCode>0.000</c:formatCode>
                <c:ptCount val="11"/>
                <c:pt idx="0">
                  <c:v>0</c:v>
                </c:pt>
                <c:pt idx="1">
                  <c:v>5.8965517241379307E-2</c:v>
                </c:pt>
                <c:pt idx="2">
                  <c:v>0.11793103448275861</c:v>
                </c:pt>
                <c:pt idx="3">
                  <c:v>0.17689655172413796</c:v>
                </c:pt>
                <c:pt idx="4">
                  <c:v>0.23586206896551723</c:v>
                </c:pt>
                <c:pt idx="5">
                  <c:v>0.29482758620689653</c:v>
                </c:pt>
                <c:pt idx="6">
                  <c:v>0.35379310344827591</c:v>
                </c:pt>
                <c:pt idx="7">
                  <c:v>0.41275862068965519</c:v>
                </c:pt>
                <c:pt idx="8">
                  <c:v>0.47172413793103446</c:v>
                </c:pt>
                <c:pt idx="9">
                  <c:v>0.53068965517241384</c:v>
                </c:pt>
                <c:pt idx="10">
                  <c:v>0.58965517241379306</c:v>
                </c:pt>
              </c:numCache>
            </c:numRef>
          </c:cat>
          <c:val>
            <c:numRef>
              <c:f>'exergy steam'!$DH$18:$DH$28</c:f>
              <c:numCache>
                <c:formatCode>0.0%</c:formatCode>
                <c:ptCount val="11"/>
                <c:pt idx="0">
                  <c:v>0.83262806698209679</c:v>
                </c:pt>
                <c:pt idx="1">
                  <c:v>0.82844620507809885</c:v>
                </c:pt>
                <c:pt idx="2">
                  <c:v>0.8320865568790492</c:v>
                </c:pt>
                <c:pt idx="3">
                  <c:v>0.83913041574228575</c:v>
                </c:pt>
                <c:pt idx="4">
                  <c:v>0.84410993048518124</c:v>
                </c:pt>
                <c:pt idx="5">
                  <c:v>0.84371604870475991</c:v>
                </c:pt>
                <c:pt idx="6">
                  <c:v>0.84147483975903115</c:v>
                </c:pt>
                <c:pt idx="7">
                  <c:v>0.83882781173984677</c:v>
                </c:pt>
                <c:pt idx="8">
                  <c:v>0.83607993410962567</c:v>
                </c:pt>
                <c:pt idx="9">
                  <c:v>0.83333406049837955</c:v>
                </c:pt>
                <c:pt idx="10">
                  <c:v>0.83063958523880232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2031312"/>
        <c:axId val="372036408"/>
      </c:lineChart>
      <c:catAx>
        <c:axId val="372031312"/>
        <c:scaling>
          <c:orientation val="minMax"/>
        </c:scaling>
        <c:delete val="0"/>
        <c:axPos val="b"/>
        <c:numFmt formatCode="0.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2036408"/>
        <c:crosses val="autoZero"/>
        <c:auto val="1"/>
        <c:lblAlgn val="ctr"/>
        <c:lblOffset val="100"/>
        <c:tickMarkSkip val="1"/>
        <c:noMultiLvlLbl val="0"/>
      </c:catAx>
      <c:valAx>
        <c:axId val="372036408"/>
        <c:scaling>
          <c:orientation val="minMax"/>
        </c:scaling>
        <c:delete val="0"/>
        <c:axPos val="l"/>
        <c:numFmt formatCode="0.0%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2031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'exergy steam'!$DG$32</c:f>
              <c:strCache>
                <c:ptCount val="1"/>
                <c:pt idx="0">
                  <c:v>Gas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'exergy air'!$CQ$18:$CQ$28</c:f>
              <c:numCache>
                <c:formatCode>General</c:formatCode>
                <c:ptCount val="1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</c:numCache>
            </c:numRef>
          </c:cat>
          <c:val>
            <c:numRef>
              <c:f>'exergy steam'!$DG$33:$DG$43</c:f>
              <c:numCache>
                <c:formatCode>General</c:formatCode>
                <c:ptCount val="11"/>
                <c:pt idx="0">
                  <c:v>44985.16846622408</c:v>
                </c:pt>
                <c:pt idx="1">
                  <c:v>50993.710116968738</c:v>
                </c:pt>
                <c:pt idx="2">
                  <c:v>53291.907628579247</c:v>
                </c:pt>
                <c:pt idx="3">
                  <c:v>53807.201496655631</c:v>
                </c:pt>
                <c:pt idx="4">
                  <c:v>54190.906966591174</c:v>
                </c:pt>
                <c:pt idx="5">
                  <c:v>54229.996317699311</c:v>
                </c:pt>
                <c:pt idx="6">
                  <c:v>54150.147333525798</c:v>
                </c:pt>
                <c:pt idx="7">
                  <c:v>54043.810317426265</c:v>
                </c:pt>
                <c:pt idx="8">
                  <c:v>53930.564150150945</c:v>
                </c:pt>
                <c:pt idx="9">
                  <c:v>53817.028073251131</c:v>
                </c:pt>
                <c:pt idx="10">
                  <c:v>53706.396218916256</c:v>
                </c:pt>
              </c:numCache>
            </c:numRef>
          </c:val>
        </c:ser>
        <c:ser>
          <c:idx val="3"/>
          <c:order val="1"/>
          <c:tx>
            <c:strRef>
              <c:f>'exergy steam'!$DF$32</c:f>
              <c:strCache>
                <c:ptCount val="1"/>
                <c:pt idx="0">
                  <c:v>Liquid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'exergy air'!$CQ$18:$CQ$28</c:f>
              <c:numCache>
                <c:formatCode>General</c:formatCode>
                <c:ptCount val="1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</c:numCache>
            </c:numRef>
          </c:cat>
          <c:val>
            <c:numRef>
              <c:f>'exergy steam'!$DF$33:$DF$43</c:f>
              <c:numCache>
                <c:formatCode>0.00E+00</c:formatCode>
                <c:ptCount val="11"/>
                <c:pt idx="0">
                  <c:v>8214.4954047222236</c:v>
                </c:pt>
                <c:pt idx="1">
                  <c:v>2001.9702630710583</c:v>
                </c:pt>
                <c:pt idx="2">
                  <c:v>0.13473310979516528</c:v>
                </c:pt>
                <c:pt idx="3">
                  <c:v>9.4693319150629807E-8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2036800"/>
        <c:axId val="372034840"/>
      </c:barChart>
      <c:lineChart>
        <c:grouping val="standard"/>
        <c:varyColors val="0"/>
        <c:ser>
          <c:idx val="0"/>
          <c:order val="2"/>
          <c:tx>
            <c:strRef>
              <c:f>'exergy steam'!$DH$32</c:f>
              <c:strCache>
                <c:ptCount val="1"/>
                <c:pt idx="0">
                  <c:v>Biomassa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'exergy steam'!$DE$33:$DE$43</c:f>
              <c:numCache>
                <c:formatCode>General</c:formatCode>
                <c:ptCount val="11"/>
                <c:pt idx="0">
                  <c:v>0</c:v>
                </c:pt>
                <c:pt idx="1">
                  <c:v>5.8965517241379307E-2</c:v>
                </c:pt>
                <c:pt idx="2">
                  <c:v>0.11793103448275861</c:v>
                </c:pt>
                <c:pt idx="3">
                  <c:v>0.17689655172413796</c:v>
                </c:pt>
                <c:pt idx="4">
                  <c:v>0.23586206896551723</c:v>
                </c:pt>
                <c:pt idx="5">
                  <c:v>0.29482758620689653</c:v>
                </c:pt>
                <c:pt idx="6">
                  <c:v>0.35379310344827591</c:v>
                </c:pt>
                <c:pt idx="7">
                  <c:v>0.41275862068965519</c:v>
                </c:pt>
                <c:pt idx="8">
                  <c:v>0.47172413793103446</c:v>
                </c:pt>
                <c:pt idx="9">
                  <c:v>0.53068965517241384</c:v>
                </c:pt>
                <c:pt idx="10">
                  <c:v>0.58965517241379306</c:v>
                </c:pt>
              </c:numCache>
            </c:numRef>
          </c:cat>
          <c:val>
            <c:numRef>
              <c:f>'exergy steam'!$DH$33:$DH$43</c:f>
              <c:numCache>
                <c:formatCode>General</c:formatCode>
                <c:ptCount val="11"/>
                <c:pt idx="0">
                  <c:v>63893.670989028738</c:v>
                </c:pt>
                <c:pt idx="1">
                  <c:v>63893.670989028738</c:v>
                </c:pt>
                <c:pt idx="2">
                  <c:v>63893.670989028738</c:v>
                </c:pt>
                <c:pt idx="3">
                  <c:v>63893.670989028738</c:v>
                </c:pt>
                <c:pt idx="4">
                  <c:v>63893.670989028738</c:v>
                </c:pt>
                <c:pt idx="5">
                  <c:v>63893.670989028738</c:v>
                </c:pt>
                <c:pt idx="6">
                  <c:v>63893.670989028738</c:v>
                </c:pt>
                <c:pt idx="7">
                  <c:v>63893.670989028738</c:v>
                </c:pt>
                <c:pt idx="8">
                  <c:v>63893.670989028738</c:v>
                </c:pt>
                <c:pt idx="9">
                  <c:v>63893.670989028738</c:v>
                </c:pt>
                <c:pt idx="10">
                  <c:v>63893.670989028738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2036800"/>
        <c:axId val="372034840"/>
      </c:lineChart>
      <c:catAx>
        <c:axId val="3720368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ysClr val="windowText" lastClr="000000"/>
                    </a:solidFill>
                  </a:rPr>
                  <a:t>S/C ratio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2034840"/>
        <c:crosses val="autoZero"/>
        <c:auto val="1"/>
        <c:lblAlgn val="ctr"/>
        <c:lblOffset val="100"/>
        <c:noMultiLvlLbl val="0"/>
      </c:catAx>
      <c:valAx>
        <c:axId val="372034840"/>
        <c:scaling>
          <c:orientation val="minMax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ysClr val="windowText" lastClr="000000"/>
                    </a:solidFill>
                  </a:rPr>
                  <a:t>Exergy (kJ/s)</a:t>
                </a:r>
              </a:p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en-US">
                  <a:solidFill>
                    <a:sysClr val="windowText" lastClr="000000"/>
                  </a:solidFill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2036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6929690044736158"/>
          <c:y val="0.88483741615631384"/>
          <c:w val="0.46270963257685122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'exergy air'!$CR$17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'exergy air'!$CQ$18:$CQ$28</c:f>
              <c:numCache>
                <c:formatCode>General</c:formatCode>
                <c:ptCount val="1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</c:numCache>
            </c:numRef>
          </c:cat>
          <c:val>
            <c:numRef>
              <c:f>'exergy air'!$CR$18:$CR$28</c:f>
              <c:numCache>
                <c:formatCode>General</c:formatCode>
                <c:ptCount val="1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2034056"/>
        <c:axId val="372032880"/>
      </c:barChart>
      <c:lineChart>
        <c:grouping val="standard"/>
        <c:varyColors val="0"/>
        <c:ser>
          <c:idx val="1"/>
          <c:order val="1"/>
          <c:tx>
            <c:strRef>
              <c:f>'exergy air'!$CS$17</c:f>
              <c:strCache>
                <c:ptCount val="1"/>
                <c:pt idx="0">
                  <c:v>Total efficiency (%)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'exergy air'!$CQ$18:$CQ$28</c:f>
              <c:numCache>
                <c:formatCode>General</c:formatCode>
                <c:ptCount val="1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</c:numCache>
            </c:numRef>
          </c:cat>
          <c:val>
            <c:numRef>
              <c:f>'exergy air'!$CS$18:$CS$28</c:f>
              <c:numCache>
                <c:formatCode>0.0%</c:formatCode>
                <c:ptCount val="11"/>
                <c:pt idx="0">
                  <c:v>0.832602480721092</c:v>
                </c:pt>
                <c:pt idx="1">
                  <c:v>0.8299691970189329</c:v>
                </c:pt>
                <c:pt idx="2">
                  <c:v>0.82733684467915258</c:v>
                </c:pt>
                <c:pt idx="3">
                  <c:v>0.82471312533662744</c:v>
                </c:pt>
                <c:pt idx="4">
                  <c:v>0.82210260755063336</c:v>
                </c:pt>
                <c:pt idx="5">
                  <c:v>0.81950901968048762</c:v>
                </c:pt>
                <c:pt idx="6">
                  <c:v>0.81693626979666967</c:v>
                </c:pt>
                <c:pt idx="7">
                  <c:v>0.81438933594138851</c:v>
                </c:pt>
                <c:pt idx="8">
                  <c:v>0.8118750998801979</c:v>
                </c:pt>
                <c:pt idx="9">
                  <c:v>0.80940382812211675</c:v>
                </c:pt>
                <c:pt idx="10">
                  <c:v>0.80699168167312429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2032488"/>
        <c:axId val="372030136"/>
      </c:lineChart>
      <c:catAx>
        <c:axId val="3720324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ysClr val="windowText" lastClr="000000"/>
                    </a:solidFill>
                  </a:rPr>
                  <a:t>Air flow</a:t>
                </a:r>
                <a:r>
                  <a:rPr lang="en-US" baseline="0">
                    <a:solidFill>
                      <a:sysClr val="windowText" lastClr="000000"/>
                    </a:solidFill>
                  </a:rPr>
                  <a:t> (kg/s)</a:t>
                </a:r>
                <a:endParaRPr lang="en-US">
                  <a:solidFill>
                    <a:sysClr val="windowText" lastClr="000000"/>
                  </a:solidFill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2030136"/>
        <c:crosses val="autoZero"/>
        <c:auto val="1"/>
        <c:lblAlgn val="ctr"/>
        <c:lblOffset val="100"/>
        <c:tickMarkSkip val="1"/>
        <c:noMultiLvlLbl val="0"/>
      </c:catAx>
      <c:valAx>
        <c:axId val="37203013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ysClr val="windowText" lastClr="000000"/>
                    </a:solidFill>
                  </a:rPr>
                  <a:t>Exergy efficiency (%)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%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2032488"/>
        <c:crosses val="autoZero"/>
        <c:crossBetween val="between"/>
      </c:valAx>
      <c:valAx>
        <c:axId val="37203288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ysClr val="windowText" lastClr="000000"/>
                    </a:solidFill>
                  </a:rPr>
                  <a:t>Temperature (K)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2034056"/>
        <c:crosses val="max"/>
        <c:crossBetween val="between"/>
      </c:valAx>
      <c:catAx>
        <c:axId val="3720340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7203288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ayout>
        <c:manualLayout>
          <c:xMode val="edge"/>
          <c:yMode val="edge"/>
          <c:x val="0.28667935258092736"/>
          <c:y val="6.5392971711869308E-2"/>
          <c:w val="0.45441885389326342"/>
          <c:h val="7.8125546806649182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2"/>
          <c:order val="1"/>
          <c:tx>
            <c:strRef>
              <c:f>'exergy air'!$CT$17</c:f>
              <c:strCache>
                <c:ptCount val="1"/>
                <c:pt idx="0">
                  <c:v>Physical efficiency (%)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'exergy air'!$CQ$18:$CQ$28</c:f>
              <c:numCache>
                <c:formatCode>General</c:formatCode>
                <c:ptCount val="1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</c:numCache>
            </c:numRef>
          </c:cat>
          <c:val>
            <c:numRef>
              <c:f>'exergy air'!$CT$18:$CT$28</c:f>
              <c:numCache>
                <c:formatCode>0.0%</c:formatCode>
                <c:ptCount val="11"/>
                <c:pt idx="0">
                  <c:v>5.5404741606685314E-2</c:v>
                </c:pt>
                <c:pt idx="1">
                  <c:v>5.664625591040888E-2</c:v>
                </c:pt>
                <c:pt idx="2">
                  <c:v>5.7897926042891373E-2</c:v>
                </c:pt>
                <c:pt idx="3">
                  <c:v>5.9156069414320903E-2</c:v>
                </c:pt>
                <c:pt idx="4">
                  <c:v>6.0418321555291379E-2</c:v>
                </c:pt>
                <c:pt idx="5">
                  <c:v>6.1682741102746491E-2</c:v>
                </c:pt>
                <c:pt idx="6">
                  <c:v>6.2947350927866033E-2</c:v>
                </c:pt>
                <c:pt idx="7">
                  <c:v>6.420988163316009E-2</c:v>
                </c:pt>
                <c:pt idx="8">
                  <c:v>6.5467358620739866E-2</c:v>
                </c:pt>
                <c:pt idx="9">
                  <c:v>6.6715581782002334E-2</c:v>
                </c:pt>
                <c:pt idx="10">
                  <c:v>6.7948161267123372E-2</c:v>
                </c:pt>
              </c:numCache>
            </c:numRef>
          </c:val>
        </c:ser>
        <c:ser>
          <c:idx val="3"/>
          <c:order val="2"/>
          <c:tx>
            <c:strRef>
              <c:f>'exergy air'!$CU$17</c:f>
              <c:strCache>
                <c:ptCount val="1"/>
                <c:pt idx="0">
                  <c:v>Chemical efficiency (%)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'exergy air'!$CQ$18:$CQ$28</c:f>
              <c:numCache>
                <c:formatCode>General</c:formatCode>
                <c:ptCount val="1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</c:numCache>
            </c:numRef>
          </c:cat>
          <c:val>
            <c:numRef>
              <c:f>'exergy air'!$CU$18:$CU$28</c:f>
              <c:numCache>
                <c:formatCode>0.0%</c:formatCode>
                <c:ptCount val="11"/>
                <c:pt idx="0">
                  <c:v>0.77719774297464561</c:v>
                </c:pt>
                <c:pt idx="1">
                  <c:v>0.77332333933178921</c:v>
                </c:pt>
                <c:pt idx="2">
                  <c:v>0.76943972864172105</c:v>
                </c:pt>
                <c:pt idx="3">
                  <c:v>0.76555829526367336</c:v>
                </c:pt>
                <c:pt idx="4">
                  <c:v>0.7616859722951308</c:v>
                </c:pt>
                <c:pt idx="5">
                  <c:v>0.75782842947620122</c:v>
                </c:pt>
                <c:pt idx="6">
                  <c:v>0.75399155196836565</c:v>
                </c:pt>
                <c:pt idx="7">
                  <c:v>0.7501825871042046</c:v>
                </c:pt>
                <c:pt idx="8">
                  <c:v>0.74641139103755072</c:v>
                </c:pt>
                <c:pt idx="9">
                  <c:v>0.74269243001676055</c:v>
                </c:pt>
                <c:pt idx="10">
                  <c:v>0.73904825425889253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72356936"/>
        <c:axId val="372359680"/>
      </c:barChart>
      <c:lineChart>
        <c:grouping val="standard"/>
        <c:varyColors val="0"/>
        <c:ser>
          <c:idx val="0"/>
          <c:order val="0"/>
          <c:tx>
            <c:strRef>
              <c:f>'exergy air'!$CR$17</c:f>
              <c:strCache>
                <c:ptCount val="1"/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'exergy air'!$CQ$18:$CQ$28</c:f>
              <c:numCache>
                <c:formatCode>General</c:formatCode>
                <c:ptCount val="1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</c:numCache>
            </c:numRef>
          </c:cat>
          <c:val>
            <c:numRef>
              <c:f>'exergy air'!$CR$18:$CR$28</c:f>
              <c:numCache>
                <c:formatCode>General</c:formatCode>
                <c:ptCount val="1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2356152"/>
        <c:axId val="372354584"/>
      </c:lineChart>
      <c:catAx>
        <c:axId val="3723569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ysClr val="windowText" lastClr="000000"/>
                    </a:solidFill>
                  </a:rPr>
                  <a:t>Air flow</a:t>
                </a:r>
                <a:r>
                  <a:rPr lang="en-US" baseline="0">
                    <a:solidFill>
                      <a:sysClr val="windowText" lastClr="000000"/>
                    </a:solidFill>
                  </a:rPr>
                  <a:t> (kg/s)</a:t>
                </a:r>
                <a:endParaRPr lang="en-US">
                  <a:solidFill>
                    <a:sysClr val="windowText" lastClr="000000"/>
                  </a:solidFill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2359680"/>
        <c:crosses val="autoZero"/>
        <c:auto val="1"/>
        <c:lblAlgn val="ctr"/>
        <c:lblOffset val="100"/>
        <c:tickMarkSkip val="1"/>
        <c:noMultiLvlLbl val="0"/>
      </c:catAx>
      <c:valAx>
        <c:axId val="372359680"/>
        <c:scaling>
          <c:orientation val="minMax"/>
          <c:max val="1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ysClr val="windowText" lastClr="000000"/>
                    </a:solidFill>
                  </a:rPr>
                  <a:t>Exergy efficiency (%)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2356936"/>
        <c:crosses val="autoZero"/>
        <c:crossBetween val="between"/>
      </c:valAx>
      <c:valAx>
        <c:axId val="37235458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ysClr val="windowText" lastClr="000000"/>
                    </a:solidFill>
                  </a:rPr>
                  <a:t>Temperature (K)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2356152"/>
        <c:crosses val="max"/>
        <c:crossBetween val="between"/>
      </c:valAx>
      <c:catAx>
        <c:axId val="3723561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723545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15113296522581982"/>
          <c:y val="0.8524300087489064"/>
          <c:w val="0.7133206474190726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'exergy air'!$CR$32</c:f>
              <c:strCache>
                <c:ptCount val="1"/>
                <c:pt idx="0">
                  <c:v>Gas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'exergy air'!$CQ$18:$CQ$28</c:f>
              <c:numCache>
                <c:formatCode>General</c:formatCode>
                <c:ptCount val="1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</c:numCache>
            </c:numRef>
          </c:cat>
          <c:val>
            <c:numRef>
              <c:f>'exergy air'!$CR$33:$CR$43</c:f>
              <c:numCache>
                <c:formatCode>0.00</c:formatCode>
                <c:ptCount val="11"/>
                <c:pt idx="0">
                  <c:v>44989.660182105341</c:v>
                </c:pt>
                <c:pt idx="1">
                  <c:v>45461.06212847415</c:v>
                </c:pt>
                <c:pt idx="2">
                  <c:v>45945.378833917159</c:v>
                </c:pt>
                <c:pt idx="3">
                  <c:v>46436.455686896028</c:v>
                </c:pt>
                <c:pt idx="4">
                  <c:v>46930.45809085459</c:v>
                </c:pt>
                <c:pt idx="5">
                  <c:v>47424.421565976074</c:v>
                </c:pt>
                <c:pt idx="6">
                  <c:v>47915.578516802045</c:v>
                </c:pt>
                <c:pt idx="7">
                  <c:v>48400.87199529542</c:v>
                </c:pt>
                <c:pt idx="8">
                  <c:v>48876.473037569733</c:v>
                </c:pt>
                <c:pt idx="9">
                  <c:v>49337.06291985089</c:v>
                </c:pt>
                <c:pt idx="10">
                  <c:v>49774.624544112114</c:v>
                </c:pt>
              </c:numCache>
            </c:numRef>
          </c:val>
        </c:ser>
        <c:ser>
          <c:idx val="3"/>
          <c:order val="1"/>
          <c:tx>
            <c:strRef>
              <c:f>'exergy air'!$CS$32</c:f>
              <c:strCache>
                <c:ptCount val="1"/>
                <c:pt idx="0">
                  <c:v>Liquid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'exergy air'!$CQ$18:$CQ$28</c:f>
              <c:numCache>
                <c:formatCode>General</c:formatCode>
                <c:ptCount val="1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</c:numCache>
            </c:numRef>
          </c:cat>
          <c:val>
            <c:numRef>
              <c:f>'exergy air'!$CS$33:$CS$43</c:f>
              <c:numCache>
                <c:formatCode>0.00</c:formatCode>
                <c:ptCount val="11"/>
                <c:pt idx="0">
                  <c:v>8208.3724922273814</c:v>
                </c:pt>
                <c:pt idx="1">
                  <c:v>7569.0894789284839</c:v>
                </c:pt>
                <c:pt idx="2">
                  <c:v>6916.9488733807775</c:v>
                </c:pt>
                <c:pt idx="3">
                  <c:v>6258.5973843990023</c:v>
                </c:pt>
                <c:pt idx="4">
                  <c:v>5598.1615302252385</c:v>
                </c:pt>
                <c:pt idx="5">
                  <c:v>4938.8440351650424</c:v>
                </c:pt>
                <c:pt idx="6">
                  <c:v>4283.6622286766324</c:v>
                </c:pt>
                <c:pt idx="7">
                  <c:v>3635.991167508781</c:v>
                </c:pt>
                <c:pt idx="8">
                  <c:v>3000.0995757696301</c:v>
                </c:pt>
                <c:pt idx="9">
                  <c:v>2381.9622269456113</c:v>
                </c:pt>
                <c:pt idx="10">
                  <c:v>1790.6289343263472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2355760"/>
        <c:axId val="372357720"/>
      </c:barChart>
      <c:lineChart>
        <c:grouping val="standard"/>
        <c:varyColors val="0"/>
        <c:ser>
          <c:idx val="0"/>
          <c:order val="2"/>
          <c:tx>
            <c:strRef>
              <c:f>'exergy air'!$CT$32</c:f>
              <c:strCache>
                <c:ptCount val="1"/>
                <c:pt idx="0">
                  <c:v>Biomass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'exergy air'!$CT$33:$CT$43</c:f>
              <c:numCache>
                <c:formatCode>0.00</c:formatCode>
                <c:ptCount val="11"/>
                <c:pt idx="0">
                  <c:v>63893.670989028738</c:v>
                </c:pt>
                <c:pt idx="1">
                  <c:v>63893.670989028738</c:v>
                </c:pt>
                <c:pt idx="2">
                  <c:v>63893.670989028738</c:v>
                </c:pt>
                <c:pt idx="3">
                  <c:v>63893.670989028738</c:v>
                </c:pt>
                <c:pt idx="4">
                  <c:v>63893.670989028738</c:v>
                </c:pt>
                <c:pt idx="5">
                  <c:v>63893.670989028738</c:v>
                </c:pt>
                <c:pt idx="6">
                  <c:v>63893.670989028738</c:v>
                </c:pt>
                <c:pt idx="7">
                  <c:v>63893.670989028738</c:v>
                </c:pt>
                <c:pt idx="8">
                  <c:v>63893.670989028738</c:v>
                </c:pt>
                <c:pt idx="9">
                  <c:v>63893.670989028738</c:v>
                </c:pt>
                <c:pt idx="10">
                  <c:v>63893.670989028738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2355760"/>
        <c:axId val="372357720"/>
      </c:lineChart>
      <c:catAx>
        <c:axId val="3723557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ysClr val="windowText" lastClr="000000"/>
                    </a:solidFill>
                  </a:rPr>
                  <a:t>Air flow</a:t>
                </a:r>
                <a:r>
                  <a:rPr lang="en-US" baseline="0">
                    <a:solidFill>
                      <a:sysClr val="windowText" lastClr="000000"/>
                    </a:solidFill>
                  </a:rPr>
                  <a:t> (kg/s)</a:t>
                </a:r>
                <a:endParaRPr lang="en-US">
                  <a:solidFill>
                    <a:sysClr val="windowText" lastClr="000000"/>
                  </a:solidFill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2357720"/>
        <c:crosses val="autoZero"/>
        <c:auto val="1"/>
        <c:lblAlgn val="ctr"/>
        <c:lblOffset val="100"/>
        <c:noMultiLvlLbl val="0"/>
      </c:catAx>
      <c:valAx>
        <c:axId val="372357720"/>
        <c:scaling>
          <c:orientation val="minMax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ysClr val="windowText" lastClr="000000"/>
                    </a:solidFill>
                  </a:rPr>
                  <a:t>Exergy (kJ/s)</a:t>
                </a:r>
              </a:p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en-US">
                  <a:solidFill>
                    <a:sysClr val="windowText" lastClr="000000"/>
                  </a:solidFill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2355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6929690044736158"/>
          <c:y val="0.88483741615631384"/>
          <c:w val="0.46270963257685122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'exergy air'!$CS$17</c:f>
              <c:strCache>
                <c:ptCount val="1"/>
                <c:pt idx="0">
                  <c:v>Total efficiency (%)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'exergy air'!$CQ$18:$CQ$28</c:f>
              <c:numCache>
                <c:formatCode>General</c:formatCode>
                <c:ptCount val="1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</c:numCache>
            </c:numRef>
          </c:cat>
          <c:val>
            <c:numRef>
              <c:f>'exergy air'!$CS$18:$CS$28</c:f>
              <c:numCache>
                <c:formatCode>0.0%</c:formatCode>
                <c:ptCount val="11"/>
                <c:pt idx="0">
                  <c:v>0.832602480721092</c:v>
                </c:pt>
                <c:pt idx="1">
                  <c:v>0.8299691970189329</c:v>
                </c:pt>
                <c:pt idx="2">
                  <c:v>0.82733684467915258</c:v>
                </c:pt>
                <c:pt idx="3">
                  <c:v>0.82471312533662744</c:v>
                </c:pt>
                <c:pt idx="4">
                  <c:v>0.82210260755063336</c:v>
                </c:pt>
                <c:pt idx="5">
                  <c:v>0.81950901968048762</c:v>
                </c:pt>
                <c:pt idx="6">
                  <c:v>0.81693626979666967</c:v>
                </c:pt>
                <c:pt idx="7">
                  <c:v>0.81438933594138851</c:v>
                </c:pt>
                <c:pt idx="8">
                  <c:v>0.8118750998801979</c:v>
                </c:pt>
                <c:pt idx="9">
                  <c:v>0.80940382812211675</c:v>
                </c:pt>
                <c:pt idx="10">
                  <c:v>0.80699168167312429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2358504"/>
        <c:axId val="372354976"/>
      </c:lineChart>
      <c:catAx>
        <c:axId val="372358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2354976"/>
        <c:crosses val="autoZero"/>
        <c:auto val="1"/>
        <c:lblAlgn val="ctr"/>
        <c:lblOffset val="100"/>
        <c:tickMarkSkip val="1"/>
        <c:noMultiLvlLbl val="0"/>
      </c:catAx>
      <c:valAx>
        <c:axId val="372354976"/>
        <c:scaling>
          <c:orientation val="minMax"/>
        </c:scaling>
        <c:delete val="0"/>
        <c:axPos val="l"/>
        <c:numFmt formatCode="0.0%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23585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171450</xdr:colOff>
      <xdr:row>0</xdr:row>
      <xdr:rowOff>171450</xdr:rowOff>
    </xdr:from>
    <xdr:to>
      <xdr:col>8</xdr:col>
      <xdr:colOff>370861</xdr:colOff>
      <xdr:row>4</xdr:row>
      <xdr:rowOff>95164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0650" y="1504950"/>
          <a:ext cx="4914286" cy="68571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361950</xdr:colOff>
      <xdr:row>2</xdr:row>
      <xdr:rowOff>85725</xdr:rowOff>
    </xdr:from>
    <xdr:to>
      <xdr:col>11</xdr:col>
      <xdr:colOff>265794</xdr:colOff>
      <xdr:row>11</xdr:row>
      <xdr:rowOff>56939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1550" y="466725"/>
          <a:ext cx="7247619" cy="168571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116</xdr:col>
      <xdr:colOff>114300</xdr:colOff>
      <xdr:row>32</xdr:row>
      <xdr:rowOff>157162</xdr:rowOff>
    </xdr:from>
    <xdr:to>
      <xdr:col>123</xdr:col>
      <xdr:colOff>419100</xdr:colOff>
      <xdr:row>47</xdr:row>
      <xdr:rowOff>42862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116</xdr:col>
      <xdr:colOff>0</xdr:colOff>
      <xdr:row>17</xdr:row>
      <xdr:rowOff>0</xdr:rowOff>
    </xdr:from>
    <xdr:to>
      <xdr:col>123</xdr:col>
      <xdr:colOff>304800</xdr:colOff>
      <xdr:row>31</xdr:row>
      <xdr:rowOff>76200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116</xdr:col>
      <xdr:colOff>276226</xdr:colOff>
      <xdr:row>8</xdr:row>
      <xdr:rowOff>152400</xdr:rowOff>
    </xdr:from>
    <xdr:to>
      <xdr:col>122</xdr:col>
      <xdr:colOff>323850</xdr:colOff>
      <xdr:row>16</xdr:row>
      <xdr:rowOff>95249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117</xdr:col>
      <xdr:colOff>190500</xdr:colOff>
      <xdr:row>17</xdr:row>
      <xdr:rowOff>161925</xdr:rowOff>
    </xdr:from>
    <xdr:to>
      <xdr:col>122</xdr:col>
      <xdr:colOff>171450</xdr:colOff>
      <xdr:row>19</xdr:row>
      <xdr:rowOff>38100</xdr:rowOff>
    </xdr:to>
    <xdr:sp macro="" textlink="">
      <xdr:nvSpPr>
        <xdr:cNvPr id="5" name="Rectangle 4"/>
        <xdr:cNvSpPr/>
      </xdr:nvSpPr>
      <xdr:spPr>
        <a:xfrm>
          <a:off x="72142350" y="3400425"/>
          <a:ext cx="3028950" cy="257175"/>
        </a:xfrm>
        <a:prstGeom prst="rect">
          <a:avLst/>
        </a:prstGeom>
        <a:noFill/>
        <a:ln w="19050">
          <a:solidFill>
            <a:schemeClr val="tx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119</xdr:col>
      <xdr:colOff>476250</xdr:colOff>
      <xdr:row>16</xdr:row>
      <xdr:rowOff>85725</xdr:rowOff>
    </xdr:from>
    <xdr:to>
      <xdr:col>119</xdr:col>
      <xdr:colOff>476250</xdr:colOff>
      <xdr:row>17</xdr:row>
      <xdr:rowOff>169545</xdr:rowOff>
    </xdr:to>
    <xdr:cxnSp macro="">
      <xdr:nvCxnSpPr>
        <xdr:cNvPr id="7" name="Straight Arrow Connector 6"/>
        <xdr:cNvCxnSpPr/>
      </xdr:nvCxnSpPr>
      <xdr:spPr>
        <a:xfrm flipV="1">
          <a:off x="73647300" y="3133725"/>
          <a:ext cx="0" cy="274320"/>
        </a:xfrm>
        <a:prstGeom prst="straightConnector1">
          <a:avLst/>
        </a:prstGeom>
        <a:ln w="38100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108</xdr:col>
      <xdr:colOff>0</xdr:colOff>
      <xdr:row>48</xdr:row>
      <xdr:rowOff>0</xdr:rowOff>
    </xdr:from>
    <xdr:to>
      <xdr:col>115</xdr:col>
      <xdr:colOff>254373</xdr:colOff>
      <xdr:row>62</xdr:row>
      <xdr:rowOff>76200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100</xdr:col>
      <xdr:colOff>544286</xdr:colOff>
      <xdr:row>34</xdr:row>
      <xdr:rowOff>117702</xdr:rowOff>
    </xdr:from>
    <xdr:to>
      <xdr:col>108</xdr:col>
      <xdr:colOff>236764</xdr:colOff>
      <xdr:row>49</xdr:row>
      <xdr:rowOff>3402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101</xdr:col>
      <xdr:colOff>0</xdr:colOff>
      <xdr:row>17</xdr:row>
      <xdr:rowOff>0</xdr:rowOff>
    </xdr:from>
    <xdr:to>
      <xdr:col>108</xdr:col>
      <xdr:colOff>304800</xdr:colOff>
      <xdr:row>31</xdr:row>
      <xdr:rowOff>76200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92</xdr:col>
      <xdr:colOff>504264</xdr:colOff>
      <xdr:row>45</xdr:row>
      <xdr:rowOff>78442</xdr:rowOff>
    </xdr:from>
    <xdr:to>
      <xdr:col>100</xdr:col>
      <xdr:colOff>203946</xdr:colOff>
      <xdr:row>59</xdr:row>
      <xdr:rowOff>154642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101</xdr:col>
      <xdr:colOff>571499</xdr:colOff>
      <xdr:row>7</xdr:row>
      <xdr:rowOff>56029</xdr:rowOff>
    </xdr:from>
    <xdr:to>
      <xdr:col>107</xdr:col>
      <xdr:colOff>163124</xdr:colOff>
      <xdr:row>15</xdr:row>
      <xdr:rowOff>177053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K21"/>
  <sheetViews>
    <sheetView workbookViewId="0">
      <selection activeCell="L4" sqref="L4"/>
    </sheetView>
  </sheetViews>
  <sheetFormatPr defaultRowHeight="15" x14ac:dyDescent="0.25"/>
  <cols>
    <col min="4" max="4" width="11.5703125" bestFit="1" customWidth="1"/>
    <col min="5" max="5" width="12" bestFit="1" customWidth="1"/>
    <col min="6" max="6" width="16" bestFit="1" customWidth="1"/>
    <col min="7" max="7" width="3.85546875" bestFit="1" customWidth="1"/>
    <col min="8" max="8" width="18.140625" bestFit="1" customWidth="1"/>
    <col min="9" max="9" width="12" bestFit="1" customWidth="1"/>
  </cols>
  <sheetData>
    <row r="7" spans="2:11" x14ac:dyDescent="0.25">
      <c r="B7">
        <v>1</v>
      </c>
      <c r="C7" t="s">
        <v>34</v>
      </c>
      <c r="E7" t="s">
        <v>29</v>
      </c>
      <c r="F7" t="s">
        <v>31</v>
      </c>
      <c r="G7" t="s">
        <v>30</v>
      </c>
      <c r="H7" t="s">
        <v>32</v>
      </c>
    </row>
    <row r="8" spans="2:11" x14ac:dyDescent="0.25">
      <c r="B8" t="s">
        <v>117</v>
      </c>
      <c r="D8" t="s">
        <v>24</v>
      </c>
      <c r="E8" s="6">
        <f t="shared" ref="E8:E13" si="0">F8/$F$15</f>
        <v>0.82051282051282048</v>
      </c>
      <c r="F8">
        <f t="shared" ref="F8:F13" si="1">G8*H8</f>
        <v>96</v>
      </c>
      <c r="G8">
        <v>12</v>
      </c>
      <c r="H8">
        <v>8</v>
      </c>
      <c r="I8" s="2"/>
      <c r="J8" s="27"/>
    </row>
    <row r="9" spans="2:11" x14ac:dyDescent="0.25">
      <c r="D9" t="s">
        <v>25</v>
      </c>
      <c r="E9" s="6">
        <f t="shared" si="0"/>
        <v>5.9829059829059832E-2</v>
      </c>
      <c r="F9">
        <f t="shared" si="1"/>
        <v>7</v>
      </c>
      <c r="G9">
        <v>1</v>
      </c>
      <c r="H9">
        <v>7</v>
      </c>
      <c r="I9" s="2"/>
      <c r="J9" s="27"/>
    </row>
    <row r="10" spans="2:11" x14ac:dyDescent="0.25">
      <c r="D10" t="s">
        <v>26</v>
      </c>
      <c r="E10" s="6">
        <f t="shared" si="0"/>
        <v>0.11965811965811966</v>
      </c>
      <c r="F10">
        <f t="shared" si="1"/>
        <v>14</v>
      </c>
      <c r="G10">
        <v>14</v>
      </c>
      <c r="H10">
        <v>1</v>
      </c>
      <c r="I10" s="2"/>
      <c r="J10" s="27"/>
    </row>
    <row r="11" spans="2:11" x14ac:dyDescent="0.25">
      <c r="D11" t="s">
        <v>27</v>
      </c>
      <c r="E11" s="6">
        <f t="shared" si="0"/>
        <v>0</v>
      </c>
      <c r="F11">
        <f t="shared" si="1"/>
        <v>0</v>
      </c>
      <c r="G11">
        <v>32</v>
      </c>
      <c r="H11">
        <v>0</v>
      </c>
      <c r="I11" s="2"/>
      <c r="J11" s="27"/>
    </row>
    <row r="12" spans="2:11" x14ac:dyDescent="0.25">
      <c r="D12" t="s">
        <v>28</v>
      </c>
      <c r="E12" s="6">
        <f t="shared" si="0"/>
        <v>0</v>
      </c>
      <c r="F12">
        <f t="shared" si="1"/>
        <v>0</v>
      </c>
      <c r="G12">
        <v>16</v>
      </c>
      <c r="H12">
        <v>0</v>
      </c>
      <c r="I12" s="2"/>
      <c r="J12" s="27"/>
    </row>
    <row r="13" spans="2:11" x14ac:dyDescent="0.25">
      <c r="D13" t="s">
        <v>50</v>
      </c>
      <c r="E13" s="6">
        <f t="shared" si="0"/>
        <v>0</v>
      </c>
      <c r="F13">
        <f t="shared" si="1"/>
        <v>0</v>
      </c>
      <c r="G13">
        <v>12</v>
      </c>
      <c r="H13">
        <v>0</v>
      </c>
      <c r="I13" s="2"/>
      <c r="J13" s="27"/>
    </row>
    <row r="14" spans="2:11" x14ac:dyDescent="0.25">
      <c r="I14" s="2"/>
    </row>
    <row r="15" spans="2:11" x14ac:dyDescent="0.25">
      <c r="E15" s="7">
        <f>SUM(E8:E13)</f>
        <v>1</v>
      </c>
      <c r="F15" s="3">
        <f>SUM(F8:F13)</f>
        <v>117</v>
      </c>
      <c r="G15" s="3"/>
      <c r="H15" s="3">
        <f>SUM(H8:H13)</f>
        <v>16</v>
      </c>
      <c r="I15" s="2"/>
      <c r="J15" s="3"/>
      <c r="K15" s="3"/>
    </row>
    <row r="17" spans="4:8" x14ac:dyDescent="0.25">
      <c r="D17" t="s">
        <v>39</v>
      </c>
    </row>
    <row r="18" spans="4:8" x14ac:dyDescent="0.25">
      <c r="D18" t="s">
        <v>18</v>
      </c>
      <c r="E18" s="26">
        <v>4235</v>
      </c>
      <c r="F18" t="s">
        <v>36</v>
      </c>
    </row>
    <row r="19" spans="4:8" x14ac:dyDescent="0.25">
      <c r="D19" t="s">
        <v>19</v>
      </c>
      <c r="E19">
        <f>(1.0414+0.0177*E9/E8-0.3328*E12/E8*(1+0.0537*E9/E8))/(1-0.4021*E12/E8)</f>
        <v>1.0426906250000001</v>
      </c>
    </row>
    <row r="21" spans="4:8" x14ac:dyDescent="0.25">
      <c r="D21" t="s">
        <v>118</v>
      </c>
      <c r="E21">
        <f>E18*(1.0401+0.1728*E9/E8+0.0432*E12/E8)</f>
        <v>4458.1845000000003</v>
      </c>
      <c r="F21" t="s">
        <v>36</v>
      </c>
      <c r="H21">
        <f>E18*(1.0401+0.1728*E9/E8+0.0432*E12/E8)</f>
        <v>4458.1845000000003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4:N34"/>
  <sheetViews>
    <sheetView workbookViewId="0">
      <selection activeCell="L19" sqref="L19"/>
    </sheetView>
  </sheetViews>
  <sheetFormatPr defaultRowHeight="15" x14ac:dyDescent="0.25"/>
  <cols>
    <col min="4" max="4" width="11.5703125" bestFit="1" customWidth="1"/>
    <col min="5" max="5" width="12" bestFit="1" customWidth="1"/>
    <col min="6" max="6" width="16" bestFit="1" customWidth="1"/>
    <col min="7" max="7" width="3.85546875" bestFit="1" customWidth="1"/>
    <col min="8" max="8" width="18.140625" bestFit="1" customWidth="1"/>
    <col min="9" max="9" width="12" bestFit="1" customWidth="1"/>
  </cols>
  <sheetData>
    <row r="14" spans="4:14" x14ac:dyDescent="0.25">
      <c r="E14" t="s">
        <v>29</v>
      </c>
      <c r="F14" t="s">
        <v>31</v>
      </c>
      <c r="G14" t="s">
        <v>30</v>
      </c>
      <c r="H14" t="s">
        <v>32</v>
      </c>
      <c r="I14" t="s">
        <v>40</v>
      </c>
      <c r="J14" t="s">
        <v>41</v>
      </c>
      <c r="M14" t="s">
        <v>124</v>
      </c>
      <c r="N14" t="s">
        <v>33</v>
      </c>
    </row>
    <row r="15" spans="4:14" x14ac:dyDescent="0.25">
      <c r="D15" t="s">
        <v>24</v>
      </c>
      <c r="E15" s="6">
        <v>0.46400000000000002</v>
      </c>
      <c r="F15">
        <f t="shared" ref="F15:F20" si="0">$E$28*E15</f>
        <v>4640</v>
      </c>
      <c r="G15">
        <v>12</v>
      </c>
      <c r="H15">
        <f t="shared" ref="H15:H20" si="1">F15/G15</f>
        <v>386.66666666666669</v>
      </c>
      <c r="I15" s="2">
        <f t="shared" ref="I15:I20" si="2">H15/$H$22</f>
        <v>0.29396325459317585</v>
      </c>
      <c r="J15">
        <f t="shared" ref="J15:J20" si="3">G15*I15</f>
        <v>3.5275590551181102</v>
      </c>
      <c r="M15">
        <f>F15/3600</f>
        <v>1.288888888888889</v>
      </c>
      <c r="N15">
        <f>H15/3600</f>
        <v>0.10740740740740741</v>
      </c>
    </row>
    <row r="16" spans="4:14" x14ac:dyDescent="0.25">
      <c r="D16" t="s">
        <v>25</v>
      </c>
      <c r="E16" s="6">
        <v>6.0999999999999999E-2</v>
      </c>
      <c r="F16">
        <f t="shared" si="0"/>
        <v>610</v>
      </c>
      <c r="G16">
        <v>1</v>
      </c>
      <c r="H16">
        <f t="shared" si="1"/>
        <v>610</v>
      </c>
      <c r="I16" s="2">
        <f t="shared" si="2"/>
        <v>0.46375237578061362</v>
      </c>
      <c r="J16">
        <f t="shared" si="3"/>
        <v>0.46375237578061362</v>
      </c>
    </row>
    <row r="17" spans="4:11" x14ac:dyDescent="0.25">
      <c r="D17" t="s">
        <v>26</v>
      </c>
      <c r="E17" s="6">
        <v>0.10199999999999999</v>
      </c>
      <c r="F17">
        <f t="shared" si="0"/>
        <v>1019.9999999999999</v>
      </c>
      <c r="G17">
        <v>14</v>
      </c>
      <c r="H17">
        <f t="shared" si="1"/>
        <v>72.857142857142847</v>
      </c>
      <c r="I17" s="2">
        <f t="shared" si="2"/>
        <v>5.5389628020635344E-2</v>
      </c>
      <c r="J17">
        <f t="shared" si="3"/>
        <v>0.7754547922888948</v>
      </c>
    </row>
    <row r="18" spans="4:11" x14ac:dyDescent="0.25">
      <c r="D18" t="s">
        <v>27</v>
      </c>
      <c r="E18" s="6">
        <v>6.0000000000000001E-3</v>
      </c>
      <c r="F18">
        <f t="shared" si="0"/>
        <v>60</v>
      </c>
      <c r="G18">
        <v>32</v>
      </c>
      <c r="H18">
        <f t="shared" si="1"/>
        <v>1.875</v>
      </c>
      <c r="I18" s="2">
        <f t="shared" si="2"/>
        <v>1.4254683681781156E-3</v>
      </c>
      <c r="J18">
        <f t="shared" si="3"/>
        <v>4.5614987781699701E-2</v>
      </c>
    </row>
    <row r="19" spans="4:11" x14ac:dyDescent="0.25">
      <c r="D19" t="s">
        <v>28</v>
      </c>
      <c r="E19" s="6">
        <v>0.29699999999999999</v>
      </c>
      <c r="F19">
        <f t="shared" si="0"/>
        <v>2970</v>
      </c>
      <c r="G19">
        <v>16</v>
      </c>
      <c r="H19">
        <f t="shared" si="1"/>
        <v>185.625</v>
      </c>
      <c r="I19" s="2">
        <f t="shared" si="2"/>
        <v>0.14112136844963344</v>
      </c>
      <c r="J19">
        <f t="shared" si="3"/>
        <v>2.257941895194135</v>
      </c>
    </row>
    <row r="20" spans="4:11" x14ac:dyDescent="0.25">
      <c r="D20" t="s">
        <v>50</v>
      </c>
      <c r="E20" s="6">
        <v>7.0000000000000007E-2</v>
      </c>
      <c r="F20">
        <f t="shared" si="0"/>
        <v>700.00000000000011</v>
      </c>
      <c r="G20">
        <v>12</v>
      </c>
      <c r="H20">
        <f t="shared" si="1"/>
        <v>58.333333333333343</v>
      </c>
      <c r="I20" s="2">
        <f t="shared" si="2"/>
        <v>4.4347904787763605E-2</v>
      </c>
      <c r="J20">
        <f t="shared" si="3"/>
        <v>0.53217485745316329</v>
      </c>
    </row>
    <row r="21" spans="4:11" x14ac:dyDescent="0.25">
      <c r="I21" s="2"/>
    </row>
    <row r="22" spans="4:11" x14ac:dyDescent="0.25">
      <c r="E22" s="7">
        <f>SUM(E15:E20)</f>
        <v>1</v>
      </c>
      <c r="F22" s="3">
        <f>SUM(F15:F20)</f>
        <v>10000</v>
      </c>
      <c r="G22" s="3"/>
      <c r="H22" s="3">
        <f>SUM(H15:H20)</f>
        <v>1315.3571428571429</v>
      </c>
      <c r="I22" s="2">
        <f>SUM(I15:I20)</f>
        <v>1</v>
      </c>
      <c r="J22" s="3">
        <f>SUM(J15:J20)</f>
        <v>7.6024979636166163</v>
      </c>
      <c r="K22" s="3"/>
    </row>
    <row r="23" spans="4:11" x14ac:dyDescent="0.25">
      <c r="I23">
        <f>H22</f>
        <v>1315.3571428571429</v>
      </c>
      <c r="J23" t="s">
        <v>34</v>
      </c>
    </row>
    <row r="24" spans="4:11" x14ac:dyDescent="0.25">
      <c r="D24" t="s">
        <v>39</v>
      </c>
      <c r="I24">
        <f>I23/(60*60)</f>
        <v>0.36537698412698416</v>
      </c>
      <c r="J24" t="s">
        <v>33</v>
      </c>
    </row>
    <row r="25" spans="4:11" x14ac:dyDescent="0.25">
      <c r="I25">
        <f>I24*1000</f>
        <v>365.37698412698415</v>
      </c>
      <c r="J25" t="s">
        <v>37</v>
      </c>
    </row>
    <row r="26" spans="4:11" x14ac:dyDescent="0.25">
      <c r="I26">
        <f>I25*3600</f>
        <v>1315357.142857143</v>
      </c>
      <c r="J26" t="s">
        <v>35</v>
      </c>
    </row>
    <row r="28" spans="4:11" x14ac:dyDescent="0.25">
      <c r="D28" t="s">
        <v>17</v>
      </c>
      <c r="E28">
        <v>10000</v>
      </c>
      <c r="F28" t="s">
        <v>20</v>
      </c>
      <c r="I28">
        <f>E28/I23</f>
        <v>7.6024979636166163</v>
      </c>
    </row>
    <row r="29" spans="4:11" x14ac:dyDescent="0.25">
      <c r="D29" t="s">
        <v>18</v>
      </c>
      <c r="E29">
        <v>20600</v>
      </c>
      <c r="F29" t="s">
        <v>21</v>
      </c>
    </row>
    <row r="30" spans="4:11" x14ac:dyDescent="0.25">
      <c r="D30" t="s">
        <v>19</v>
      </c>
      <c r="E30">
        <f>(1.0414+0.0177*E16/E15-0.3328*E19/E15*(1+0.0537*E16/E15))/(1-0.4021*E19/E15)</f>
        <v>1.1165884250509877</v>
      </c>
    </row>
    <row r="32" spans="4:11" x14ac:dyDescent="0.25">
      <c r="D32" t="s">
        <v>22</v>
      </c>
      <c r="E32">
        <f>E28*E29*E30</f>
        <v>230017215.56050345</v>
      </c>
      <c r="F32" t="s">
        <v>23</v>
      </c>
    </row>
    <row r="33" spans="5:6" x14ac:dyDescent="0.25">
      <c r="E33">
        <f>E32/I26</f>
        <v>174.87054128954918</v>
      </c>
      <c r="F33" t="s">
        <v>36</v>
      </c>
    </row>
    <row r="34" spans="5:6" x14ac:dyDescent="0.25">
      <c r="E34">
        <f>E32/3600</f>
        <v>63893.670989028738</v>
      </c>
      <c r="F34" t="s">
        <v>38</v>
      </c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45"/>
  <sheetViews>
    <sheetView topLeftCell="CR19" zoomScale="70" zoomScaleNormal="70" workbookViewId="0">
      <selection activeCell="DJ42" sqref="DJ42"/>
    </sheetView>
  </sheetViews>
  <sheetFormatPr defaultRowHeight="15" x14ac:dyDescent="0.25"/>
  <cols>
    <col min="20" max="20" width="10" bestFit="1" customWidth="1"/>
    <col min="21" max="21" width="11.7109375" bestFit="1" customWidth="1"/>
    <col min="23" max="23" width="10.7109375" bestFit="1" customWidth="1"/>
    <col min="26" max="26" width="11.7109375" bestFit="1" customWidth="1"/>
    <col min="40" max="40" width="9.140625" style="18"/>
    <col min="44" max="44" width="11" bestFit="1" customWidth="1"/>
    <col min="52" max="52" width="9.140625" style="18"/>
    <col min="96" max="96" width="9.140625" style="24"/>
    <col min="110" max="110" width="12.42578125" customWidth="1"/>
  </cols>
  <sheetData>
    <row r="1" spans="1:108" x14ac:dyDescent="0.25">
      <c r="A1" t="s">
        <v>52</v>
      </c>
      <c r="B1" t="s">
        <v>53</v>
      </c>
      <c r="F1" s="34" t="s">
        <v>79</v>
      </c>
      <c r="G1" s="34"/>
      <c r="H1" s="34"/>
      <c r="I1" s="33" t="s">
        <v>80</v>
      </c>
      <c r="J1" s="33"/>
      <c r="K1" s="33"/>
      <c r="L1" s="33"/>
      <c r="M1" s="33"/>
      <c r="N1" s="33"/>
      <c r="O1" s="33"/>
      <c r="P1" s="33"/>
    </row>
    <row r="2" spans="1:108" x14ac:dyDescent="0.25">
      <c r="C2" t="s">
        <v>66</v>
      </c>
      <c r="F2" t="s">
        <v>67</v>
      </c>
      <c r="G2" t="s">
        <v>68</v>
      </c>
      <c r="H2" t="s">
        <v>69</v>
      </c>
      <c r="I2" s="9" t="s">
        <v>70</v>
      </c>
      <c r="J2" s="11" t="s">
        <v>72</v>
      </c>
      <c r="K2" s="11" t="s">
        <v>73</v>
      </c>
      <c r="L2" s="11" t="s">
        <v>74</v>
      </c>
      <c r="M2" s="11" t="s">
        <v>75</v>
      </c>
      <c r="N2" s="11" t="s">
        <v>76</v>
      </c>
      <c r="O2" s="11" t="s">
        <v>77</v>
      </c>
      <c r="P2" s="11" t="s">
        <v>78</v>
      </c>
    </row>
    <row r="3" spans="1:108" x14ac:dyDescent="0.25">
      <c r="C3" t="s">
        <v>59</v>
      </c>
      <c r="F3" t="s">
        <v>64</v>
      </c>
      <c r="G3" t="s">
        <v>64</v>
      </c>
      <c r="H3" t="s">
        <v>64</v>
      </c>
      <c r="I3" s="9" t="s">
        <v>64</v>
      </c>
      <c r="J3" s="11" t="s">
        <v>64</v>
      </c>
      <c r="K3" s="11" t="s">
        <v>64</v>
      </c>
      <c r="L3" s="11" t="s">
        <v>64</v>
      </c>
      <c r="M3" s="11" t="s">
        <v>64</v>
      </c>
      <c r="N3" s="11" t="s">
        <v>64</v>
      </c>
      <c r="O3" s="11" t="s">
        <v>64</v>
      </c>
      <c r="P3" s="11" t="s">
        <v>64</v>
      </c>
    </row>
    <row r="4" spans="1:108" x14ac:dyDescent="0.25">
      <c r="A4">
        <v>1</v>
      </c>
      <c r="B4" t="s">
        <v>61</v>
      </c>
      <c r="C4">
        <f>'ASPEN Ex steam'!B7</f>
        <v>0</v>
      </c>
      <c r="F4">
        <f>'ASPEN Ex steam'!C7</f>
        <v>0</v>
      </c>
      <c r="G4">
        <f>'ASPEN Ex steam'!D7</f>
        <v>2.0219247900000001E-7</v>
      </c>
      <c r="H4">
        <f>'ASPEN Ex steam'!E7</f>
        <v>7.6062885000000001E-7</v>
      </c>
      <c r="I4" s="10">
        <f>'ASPEN Ex steam'!F7</f>
        <v>1.7594840699999999E-3</v>
      </c>
      <c r="J4" s="11">
        <f>'ASPEN Ex steam'!H7</f>
        <v>0</v>
      </c>
      <c r="K4" s="11">
        <f>'ASPEN Ex steam'!I7</f>
        <v>8.0452936199999995E-3</v>
      </c>
      <c r="L4" s="11">
        <f>'ASPEN Ex steam'!J7</f>
        <v>0</v>
      </c>
      <c r="M4" s="11">
        <f>'ASPEN Ex steam'!K7</f>
        <v>3.8924473100000002E-2</v>
      </c>
      <c r="N4" s="11">
        <f>'ASPEN Ex steam'!L7</f>
        <v>5.2295841699999998E-2</v>
      </c>
      <c r="O4" s="11">
        <f>'ASPEN Ex steam'!M7</f>
        <v>5.0088652000000001E-8</v>
      </c>
      <c r="P4" s="11">
        <f>'ASPEN Ex steam'!N7</f>
        <v>2.23724215E-2</v>
      </c>
    </row>
    <row r="5" spans="1:108" x14ac:dyDescent="0.25">
      <c r="A5">
        <v>2</v>
      </c>
      <c r="B5" t="s">
        <v>62</v>
      </c>
      <c r="C5">
        <f>'ASPEN Ex steam'!B8</f>
        <v>0.114</v>
      </c>
      <c r="F5">
        <f>'ASPEN Ex steam'!C8</f>
        <v>6.3279616000000002E-3</v>
      </c>
      <c r="G5">
        <f>'ASPEN Ex steam'!D8</f>
        <v>2.0219247900000001E-7</v>
      </c>
      <c r="H5">
        <f>'ASPEN Ex steam'!E8</f>
        <v>7.6062885000000001E-7</v>
      </c>
      <c r="I5" s="10">
        <f>'ASPEN Ex steam'!F8</f>
        <v>4.2998628399999999E-4</v>
      </c>
      <c r="J5" s="11">
        <f>'ASPEN Ex steam'!H8</f>
        <v>0</v>
      </c>
      <c r="K5" s="11">
        <f>'ASPEN Ex steam'!I8</f>
        <v>8.71004251E-3</v>
      </c>
      <c r="L5" s="11">
        <f>'ASPEN Ex steam'!J8</f>
        <v>0</v>
      </c>
      <c r="M5" s="11">
        <f>'ASPEN Ex steam'!K8</f>
        <v>4.12887974E-2</v>
      </c>
      <c r="N5" s="11">
        <f>'ASPEN Ex steam'!L8</f>
        <v>5.8623794999999999E-2</v>
      </c>
      <c r="O5" s="11">
        <f>'ASPEN Ex steam'!M8</f>
        <v>1.06102476E-7</v>
      </c>
      <c r="P5" s="11">
        <f>'ASPEN Ex steam'!N8</f>
        <v>2.66810169E-2</v>
      </c>
    </row>
    <row r="6" spans="1:108" x14ac:dyDescent="0.25">
      <c r="A6">
        <v>3</v>
      </c>
      <c r="B6" t="s">
        <v>62</v>
      </c>
      <c r="C6">
        <f>'ASPEN Ex steam'!B9</f>
        <v>0.22800000000000001</v>
      </c>
      <c r="F6">
        <f>'ASPEN Ex steam'!C9</f>
        <v>1.26559232E-2</v>
      </c>
      <c r="G6">
        <f>'ASPEN Ex steam'!D9</f>
        <v>2.0219247900000001E-7</v>
      </c>
      <c r="H6">
        <f>'ASPEN Ex steam'!E9</f>
        <v>7.6062885000000001E-7</v>
      </c>
      <c r="I6" s="10">
        <f>'ASPEN Ex steam'!F9</f>
        <v>2.90969137E-8</v>
      </c>
      <c r="J6" s="11">
        <f>'ASPEN Ex steam'!H9</f>
        <v>0</v>
      </c>
      <c r="K6" s="11">
        <f>'ASPEN Ex steam'!I9</f>
        <v>8.9250211100000004E-3</v>
      </c>
      <c r="L6" s="11">
        <f>'ASPEN Ex steam'!J9</f>
        <v>0</v>
      </c>
      <c r="M6" s="11">
        <f>'ASPEN Ex steam'!K9</f>
        <v>5.4895299299999999E-2</v>
      </c>
      <c r="N6" s="11">
        <f>'ASPEN Ex steam'!L9</f>
        <v>6.4949844199999995E-2</v>
      </c>
      <c r="O6" s="11">
        <f>'ASPEN Ex steam'!M9</f>
        <v>1.1251421799999999E-6</v>
      </c>
      <c r="P6" s="11">
        <f>'ASPEN Ex steam'!N9</f>
        <v>2.3794360399999999E-2</v>
      </c>
    </row>
    <row r="7" spans="1:108" x14ac:dyDescent="0.25">
      <c r="A7">
        <v>4</v>
      </c>
      <c r="B7" t="s">
        <v>62</v>
      </c>
      <c r="C7">
        <f>'ASPEN Ex steam'!B10</f>
        <v>0.34200000000000003</v>
      </c>
      <c r="F7">
        <f>'ASPEN Ex steam'!C10</f>
        <v>1.89838848E-2</v>
      </c>
      <c r="G7">
        <f>'ASPEN Ex steam'!D10</f>
        <v>2.0219247900000001E-7</v>
      </c>
      <c r="H7">
        <f>'ASPEN Ex steam'!E10</f>
        <v>7.6062885000000001E-7</v>
      </c>
      <c r="I7" s="10">
        <f>'ASPEN Ex steam'!F10</f>
        <v>2.0701343700000001E-14</v>
      </c>
      <c r="J7" s="11">
        <f>'ASPEN Ex steam'!H10</f>
        <v>0</v>
      </c>
      <c r="K7" s="11">
        <f>'ASPEN Ex steam'!I10</f>
        <v>8.9250356600000004E-3</v>
      </c>
      <c r="L7" s="11">
        <f>'ASPEN Ex steam'!J10</f>
        <v>0</v>
      </c>
      <c r="M7" s="11">
        <f>'ASPEN Ex steam'!K10</f>
        <v>7.38117784E-2</v>
      </c>
      <c r="N7" s="11">
        <f>'ASPEN Ex steam'!L10</f>
        <v>7.1210769100000001E-2</v>
      </c>
      <c r="O7" s="11">
        <f>'ASPEN Ex steam'!M10</f>
        <v>3.4643823799999998E-5</v>
      </c>
      <c r="P7" s="11">
        <f>'ASPEN Ex steam'!N10</f>
        <v>1.7500153599999999E-2</v>
      </c>
    </row>
    <row r="8" spans="1:108" x14ac:dyDescent="0.25">
      <c r="A8">
        <v>5</v>
      </c>
      <c r="B8" t="s">
        <v>62</v>
      </c>
      <c r="C8">
        <f>'ASPEN Ex steam'!B11</f>
        <v>0.45600000000000002</v>
      </c>
      <c r="F8">
        <f>'ASPEN Ex steam'!C11</f>
        <v>2.5311846400000001E-2</v>
      </c>
      <c r="G8">
        <f>'ASPEN Ex steam'!D11</f>
        <v>2.0219247900000001E-7</v>
      </c>
      <c r="H8">
        <f>'ASPEN Ex steam'!E11</f>
        <v>7.6062885000000001E-7</v>
      </c>
      <c r="I8" s="10">
        <f>'ASPEN Ex steam'!F11</f>
        <v>0</v>
      </c>
      <c r="J8" s="11">
        <f>'ASPEN Ex steam'!H11</f>
        <v>0</v>
      </c>
      <c r="K8" s="11">
        <f>'ASPEN Ex steam'!I11</f>
        <v>8.9250356600000004E-3</v>
      </c>
      <c r="L8" s="11">
        <f>'ASPEN Ex steam'!J11</f>
        <v>0</v>
      </c>
      <c r="M8" s="11">
        <f>'ASPEN Ex steam'!K11</f>
        <v>9.0640637800000007E-2</v>
      </c>
      <c r="N8" s="11">
        <f>'ASPEN Ex steam'!L11</f>
        <v>7.5383705400000001E-2</v>
      </c>
      <c r="O8" s="11">
        <f>'ASPEN Ex steam'!M11</f>
        <v>1.1121564999999999E-3</v>
      </c>
      <c r="P8" s="11">
        <f>'ASPEN Ex steam'!N11</f>
        <v>1.2249704700000001E-2</v>
      </c>
    </row>
    <row r="9" spans="1:108" x14ac:dyDescent="0.25">
      <c r="A9">
        <v>6</v>
      </c>
      <c r="B9" t="s">
        <v>62</v>
      </c>
      <c r="C9">
        <f>'ASPEN Ex steam'!B12</f>
        <v>0.56999999999999995</v>
      </c>
      <c r="F9">
        <f>'ASPEN Ex steam'!C12</f>
        <v>3.1639807999999998E-2</v>
      </c>
      <c r="G9">
        <f>'ASPEN Ex steam'!D12</f>
        <v>2.0219247900000001E-7</v>
      </c>
      <c r="H9">
        <f>'ASPEN Ex steam'!E12</f>
        <v>7.6062885000000001E-7</v>
      </c>
      <c r="I9" s="10">
        <f>'ASPEN Ex steam'!F12</f>
        <v>0</v>
      </c>
      <c r="J9" s="11">
        <f>'ASPEN Ex steam'!H12</f>
        <v>0</v>
      </c>
      <c r="K9" s="11">
        <f>'ASPEN Ex steam'!I12</f>
        <v>8.9250356600000004E-3</v>
      </c>
      <c r="L9" s="11">
        <f>'ASPEN Ex steam'!J12</f>
        <v>0</v>
      </c>
      <c r="M9" s="11">
        <f>'ASPEN Ex steam'!K12</f>
        <v>0.10066351599999999</v>
      </c>
      <c r="N9" s="11">
        <f>'ASPEN Ex steam'!L12</f>
        <v>7.2750660499999995E-2</v>
      </c>
      <c r="O9" s="11">
        <f>'ASPEN Ex steam'!M12</f>
        <v>5.5926597400000003E-3</v>
      </c>
      <c r="P9" s="11">
        <f>'ASPEN Ex steam'!N12</f>
        <v>1.0402246299999999E-2</v>
      </c>
      <c r="BB9" s="4"/>
    </row>
    <row r="10" spans="1:108" x14ac:dyDescent="0.25">
      <c r="A10">
        <v>7</v>
      </c>
      <c r="B10" t="s">
        <v>62</v>
      </c>
      <c r="C10">
        <f>'ASPEN Ex steam'!B13</f>
        <v>0.68400000000000005</v>
      </c>
      <c r="F10">
        <f>'ASPEN Ex steam'!C13</f>
        <v>3.79677696E-2</v>
      </c>
      <c r="G10">
        <f>'ASPEN Ex steam'!D13</f>
        <v>2.0219247900000001E-7</v>
      </c>
      <c r="H10">
        <f>'ASPEN Ex steam'!E13</f>
        <v>7.6062885000000001E-7</v>
      </c>
      <c r="I10" s="10">
        <f>'ASPEN Ex steam'!F13</f>
        <v>0</v>
      </c>
      <c r="J10" s="11">
        <f>'ASPEN Ex steam'!H13</f>
        <v>0</v>
      </c>
      <c r="K10" s="11">
        <f>'ASPEN Ex steam'!I13</f>
        <v>8.9250356600000004E-3</v>
      </c>
      <c r="L10" s="11">
        <f>'ASPEN Ex steam'!J13</f>
        <v>0</v>
      </c>
      <c r="M10" s="11">
        <f>'ASPEN Ex steam'!K13</f>
        <v>0.108063967</v>
      </c>
      <c r="N10" s="11">
        <f>'ASPEN Ex steam'!L13</f>
        <v>6.74951882E-2</v>
      </c>
      <c r="O10" s="11">
        <f>'ASPEN Ex steam'!M13</f>
        <v>1.1384376700000001E-2</v>
      </c>
      <c r="P10" s="11">
        <f>'ASPEN Ex steam'!N13</f>
        <v>9.8660016499999992E-3</v>
      </c>
      <c r="BB10" s="4" t="s">
        <v>6</v>
      </c>
    </row>
    <row r="11" spans="1:108" x14ac:dyDescent="0.25">
      <c r="A11">
        <v>8</v>
      </c>
      <c r="B11" t="s">
        <v>62</v>
      </c>
      <c r="C11">
        <f>'ASPEN Ex steam'!B14</f>
        <v>0.79800000000000004</v>
      </c>
      <c r="F11">
        <f>'ASPEN Ex steam'!C14</f>
        <v>4.4295731200000001E-2</v>
      </c>
      <c r="G11">
        <f>'ASPEN Ex steam'!D14</f>
        <v>2.0219247900000001E-7</v>
      </c>
      <c r="H11">
        <f>'ASPEN Ex steam'!E14</f>
        <v>7.6062885000000001E-7</v>
      </c>
      <c r="I11" s="10">
        <f>'ASPEN Ex steam'!F14</f>
        <v>0</v>
      </c>
      <c r="J11" s="11">
        <f>'ASPEN Ex steam'!H14</f>
        <v>0</v>
      </c>
      <c r="K11" s="11">
        <f>'ASPEN Ex steam'!I14</f>
        <v>8.9250356600000004E-3</v>
      </c>
      <c r="L11" s="11">
        <f>'ASPEN Ex steam'!J14</f>
        <v>0</v>
      </c>
      <c r="M11" s="11">
        <f>'ASPEN Ex steam'!K14</f>
        <v>0.114767402</v>
      </c>
      <c r="N11" s="11">
        <f>'ASPEN Ex steam'!L14</f>
        <v>6.1542699899999997E-2</v>
      </c>
      <c r="O11" s="11">
        <f>'ASPEN Ex steam'!M14</f>
        <v>1.75246017E-2</v>
      </c>
      <c r="P11" s="11">
        <f>'ASPEN Ex steam'!N14</f>
        <v>9.67826504E-3</v>
      </c>
      <c r="BB11" s="4" t="s">
        <v>10</v>
      </c>
      <c r="BC11" s="4" t="s">
        <v>16</v>
      </c>
      <c r="BD11" s="4" t="s">
        <v>11</v>
      </c>
      <c r="BE11" s="4" t="s">
        <v>51</v>
      </c>
      <c r="BF11" s="4" t="s">
        <v>10</v>
      </c>
      <c r="BG11" s="4" t="s">
        <v>11</v>
      </c>
      <c r="BH11" s="4" t="s">
        <v>16</v>
      </c>
      <c r="BI11" s="4" t="s">
        <v>12</v>
      </c>
      <c r="BJ11" s="4" t="s">
        <v>13</v>
      </c>
      <c r="BK11" s="4" t="s">
        <v>14</v>
      </c>
      <c r="BL11" s="4" t="s">
        <v>15</v>
      </c>
    </row>
    <row r="12" spans="1:108" x14ac:dyDescent="0.25">
      <c r="A12">
        <v>9</v>
      </c>
      <c r="B12" t="s">
        <v>62</v>
      </c>
      <c r="C12">
        <f>'ASPEN Ex steam'!B15</f>
        <v>0.91200000000000003</v>
      </c>
      <c r="F12">
        <f>'ASPEN Ex steam'!C15</f>
        <v>5.0623692800000002E-2</v>
      </c>
      <c r="G12">
        <f>'ASPEN Ex steam'!D15</f>
        <v>2.0219247900000001E-7</v>
      </c>
      <c r="H12">
        <f>'ASPEN Ex steam'!E15</f>
        <v>7.6062885000000001E-7</v>
      </c>
      <c r="I12" s="10">
        <f>'ASPEN Ex steam'!F15</f>
        <v>0</v>
      </c>
      <c r="J12" s="11">
        <f>'ASPEN Ex steam'!H15</f>
        <v>0</v>
      </c>
      <c r="K12" s="11">
        <f>'ASPEN Ex steam'!I15</f>
        <v>8.9250356600000004E-3</v>
      </c>
      <c r="L12" s="11">
        <f>'ASPEN Ex steam'!J15</f>
        <v>0</v>
      </c>
      <c r="M12" s="11">
        <f>'ASPEN Ex steam'!K15</f>
        <v>0.121216898</v>
      </c>
      <c r="N12" s="11">
        <f>'ASPEN Ex steam'!L15</f>
        <v>5.5336272300000003E-2</v>
      </c>
      <c r="O12" s="11">
        <f>'ASPEN Ex steam'!M15</f>
        <v>2.37917962E-2</v>
      </c>
      <c r="P12" s="11">
        <f>'ASPEN Ex steam'!N15</f>
        <v>9.6174980099999995E-3</v>
      </c>
      <c r="BB12" s="4">
        <v>11.39</v>
      </c>
      <c r="BC12" s="4">
        <v>3.97</v>
      </c>
      <c r="BD12" s="4">
        <v>0.72</v>
      </c>
      <c r="BE12" s="20">
        <f>'Ch-exr of indole'!E21</f>
        <v>4458.1845000000003</v>
      </c>
      <c r="BF12" s="4">
        <v>11.39</v>
      </c>
      <c r="BG12" s="4">
        <v>0.72</v>
      </c>
      <c r="BH12" s="4">
        <v>3.97</v>
      </c>
      <c r="BI12" s="4">
        <v>236.1</v>
      </c>
      <c r="BJ12" s="4">
        <v>275.01</v>
      </c>
      <c r="BK12" s="4">
        <v>19.809999999999999</v>
      </c>
      <c r="BL12" s="4">
        <v>831.65</v>
      </c>
    </row>
    <row r="13" spans="1:108" x14ac:dyDescent="0.25">
      <c r="A13">
        <v>10</v>
      </c>
      <c r="B13" t="s">
        <v>62</v>
      </c>
      <c r="C13">
        <f>'ASPEN Ex steam'!B16</f>
        <v>1.026</v>
      </c>
      <c r="F13">
        <f>'ASPEN Ex steam'!C16</f>
        <v>5.6951654400000003E-2</v>
      </c>
      <c r="G13">
        <f>'ASPEN Ex steam'!D16</f>
        <v>2.0219247900000001E-7</v>
      </c>
      <c r="H13">
        <f>'ASPEN Ex steam'!E16</f>
        <v>7.6062885000000001E-7</v>
      </c>
      <c r="I13" s="10">
        <f>'ASPEN Ex steam'!F16</f>
        <v>0</v>
      </c>
      <c r="J13" s="11">
        <f>'ASPEN Ex steam'!H16</f>
        <v>0</v>
      </c>
      <c r="K13" s="11">
        <f>'ASPEN Ex steam'!I16</f>
        <v>8.9250356600000004E-3</v>
      </c>
      <c r="L13" s="11">
        <f>'ASPEN Ex steam'!J16</f>
        <v>0</v>
      </c>
      <c r="M13" s="11">
        <f>'ASPEN Ex steam'!K16</f>
        <v>0.127573931</v>
      </c>
      <c r="N13" s="11">
        <f>'ASPEN Ex steam'!L16</f>
        <v>4.9037383099999998E-2</v>
      </c>
      <c r="O13" s="11">
        <f>'ASPEN Ex steam'!M16</f>
        <v>3.01052217E-2</v>
      </c>
      <c r="P13" s="11">
        <f>'ASPEN Ex steam'!N16</f>
        <v>9.6029618400000002E-3</v>
      </c>
      <c r="BN13" s="4" t="s">
        <v>6</v>
      </c>
      <c r="CY13" t="s">
        <v>114</v>
      </c>
    </row>
    <row r="14" spans="1:108" x14ac:dyDescent="0.25">
      <c r="A14">
        <v>11</v>
      </c>
      <c r="B14" t="s">
        <v>62</v>
      </c>
      <c r="C14">
        <f>'ASPEN Ex steam'!B17</f>
        <v>1.1399999999999999</v>
      </c>
      <c r="F14">
        <f>'ASPEN Ex steam'!C17</f>
        <v>6.3279615999999997E-2</v>
      </c>
      <c r="G14">
        <f>'ASPEN Ex steam'!D17</f>
        <v>2.0219247900000001E-7</v>
      </c>
      <c r="H14">
        <f>'ASPEN Ex steam'!E17</f>
        <v>7.6062885000000001E-7</v>
      </c>
      <c r="I14" s="10">
        <f>'ASPEN Ex steam'!F17</f>
        <v>0</v>
      </c>
      <c r="J14" s="11">
        <f>'ASPEN Ex steam'!H17</f>
        <v>0</v>
      </c>
      <c r="K14" s="11">
        <f>'ASPEN Ex steam'!I17</f>
        <v>8.9250356600000004E-3</v>
      </c>
      <c r="L14" s="11">
        <f>'ASPEN Ex steam'!J17</f>
        <v>0</v>
      </c>
      <c r="M14" s="11">
        <f>'ASPEN Ex steam'!K17</f>
        <v>0.133921545</v>
      </c>
      <c r="N14" s="11">
        <f>'ASPEN Ex steam'!L17</f>
        <v>4.2729073399999998E-2</v>
      </c>
      <c r="O14" s="11">
        <f>'ASPEN Ex steam'!M17</f>
        <v>3.64233573E-2</v>
      </c>
      <c r="P14" s="11">
        <f>'ASPEN Ex steam'!N17</f>
        <v>9.5931358500000001E-3</v>
      </c>
      <c r="BB14" t="s">
        <v>106</v>
      </c>
      <c r="BN14" t="s">
        <v>107</v>
      </c>
      <c r="BS14" s="21" t="s">
        <v>63</v>
      </c>
      <c r="CE14" s="22" t="s">
        <v>8</v>
      </c>
      <c r="CJ14" t="s">
        <v>7</v>
      </c>
      <c r="CK14" t="s">
        <v>108</v>
      </c>
      <c r="CM14" s="23" t="s">
        <v>9</v>
      </c>
      <c r="CT14" t="s">
        <v>110</v>
      </c>
      <c r="CY14" t="s">
        <v>110</v>
      </c>
      <c r="DD14" t="s">
        <v>65</v>
      </c>
    </row>
    <row r="15" spans="1:108" x14ac:dyDescent="0.25">
      <c r="R15" s="33" t="s">
        <v>1</v>
      </c>
      <c r="S15" s="33"/>
      <c r="T15" s="33"/>
      <c r="U15" s="33"/>
      <c r="W15" s="33" t="s">
        <v>2</v>
      </c>
      <c r="X15" s="33"/>
      <c r="Y15" s="33"/>
      <c r="Z15" s="33"/>
      <c r="AB15" s="17" t="s">
        <v>3</v>
      </c>
      <c r="AD15" s="33" t="s">
        <v>4</v>
      </c>
      <c r="AE15" s="33"/>
      <c r="AF15" s="33"/>
      <c r="AG15" s="33"/>
      <c r="AI15" s="33" t="s">
        <v>5</v>
      </c>
      <c r="AJ15" s="33"/>
      <c r="AK15" s="33"/>
      <c r="AL15" s="33"/>
      <c r="AP15" s="35" t="s">
        <v>0</v>
      </c>
      <c r="AQ15" s="35"/>
      <c r="AR15" s="35"/>
      <c r="AS15" s="35"/>
      <c r="AU15" s="35" t="s">
        <v>0</v>
      </c>
      <c r="AV15" s="35"/>
      <c r="AW15" s="35"/>
      <c r="AX15" s="35"/>
      <c r="BB15" s="19" t="s">
        <v>98</v>
      </c>
      <c r="BC15" s="32" t="s">
        <v>99</v>
      </c>
      <c r="BD15" s="32"/>
      <c r="BE15" s="19" t="s">
        <v>103</v>
      </c>
      <c r="BF15" s="32" t="s">
        <v>105</v>
      </c>
      <c r="BG15" s="32"/>
      <c r="BH15" s="32"/>
      <c r="BI15" s="32"/>
      <c r="BJ15" s="32"/>
      <c r="BK15" s="32"/>
      <c r="BL15" s="32"/>
      <c r="BN15" s="19" t="s">
        <v>98</v>
      </c>
      <c r="BO15" s="19" t="s">
        <v>99</v>
      </c>
      <c r="BP15" s="19" t="s">
        <v>100</v>
      </c>
      <c r="BQ15" s="19" t="s">
        <v>101</v>
      </c>
      <c r="BS15" s="19" t="s">
        <v>98</v>
      </c>
      <c r="BT15" s="32" t="s">
        <v>99</v>
      </c>
      <c r="BU15" s="32"/>
      <c r="BV15" s="19" t="s">
        <v>103</v>
      </c>
      <c r="BW15" s="32" t="s">
        <v>105</v>
      </c>
      <c r="BX15" s="32"/>
      <c r="BY15" s="32"/>
      <c r="BZ15" s="32"/>
      <c r="CA15" s="32"/>
      <c r="CB15" s="32"/>
      <c r="CC15" s="32"/>
      <c r="CE15" s="19" t="s">
        <v>98</v>
      </c>
      <c r="CF15" s="19" t="s">
        <v>99</v>
      </c>
      <c r="CG15" s="19" t="s">
        <v>100</v>
      </c>
      <c r="CH15" s="19" t="s">
        <v>101</v>
      </c>
      <c r="CJ15" s="4" t="s">
        <v>109</v>
      </c>
      <c r="CK15" s="8" t="s">
        <v>60</v>
      </c>
      <c r="CM15" s="19" t="s">
        <v>98</v>
      </c>
      <c r="CN15" s="19" t="s">
        <v>99</v>
      </c>
      <c r="CO15" s="19" t="s">
        <v>100</v>
      </c>
      <c r="CP15" s="19" t="s">
        <v>101</v>
      </c>
      <c r="CT15" t="s">
        <v>36</v>
      </c>
      <c r="CY15" t="s">
        <v>38</v>
      </c>
      <c r="DD15" t="s">
        <v>38</v>
      </c>
    </row>
    <row r="16" spans="1:108" x14ac:dyDescent="0.25">
      <c r="F16" t="s">
        <v>67</v>
      </c>
      <c r="G16" t="s">
        <v>68</v>
      </c>
      <c r="H16" t="s">
        <v>69</v>
      </c>
      <c r="I16" s="9" t="s">
        <v>70</v>
      </c>
      <c r="J16" s="11" t="s">
        <v>72</v>
      </c>
      <c r="K16" s="11" t="s">
        <v>73</v>
      </c>
      <c r="L16" s="11" t="s">
        <v>74</v>
      </c>
      <c r="M16" s="11" t="s">
        <v>75</v>
      </c>
      <c r="N16" s="11" t="s">
        <v>76</v>
      </c>
      <c r="O16" s="11" t="s">
        <v>77</v>
      </c>
      <c r="P16" s="11" t="s">
        <v>78</v>
      </c>
      <c r="R16" t="s">
        <v>92</v>
      </c>
      <c r="S16" t="s">
        <v>81</v>
      </c>
      <c r="T16" t="s">
        <v>82</v>
      </c>
      <c r="U16" t="s">
        <v>83</v>
      </c>
      <c r="W16" t="s">
        <v>94</v>
      </c>
      <c r="X16" t="s">
        <v>96</v>
      </c>
      <c r="Y16" t="s">
        <v>84</v>
      </c>
      <c r="Z16" t="s">
        <v>85</v>
      </c>
      <c r="AD16" t="s">
        <v>93</v>
      </c>
      <c r="AE16" t="s">
        <v>55</v>
      </c>
      <c r="AF16" t="s">
        <v>86</v>
      </c>
      <c r="AG16" t="s">
        <v>87</v>
      </c>
      <c r="AI16" t="s">
        <v>95</v>
      </c>
      <c r="AJ16" t="s">
        <v>97</v>
      </c>
      <c r="AK16" t="s">
        <v>88</v>
      </c>
      <c r="AL16" t="s">
        <v>89</v>
      </c>
      <c r="AP16" s="31" t="s">
        <v>102</v>
      </c>
      <c r="AQ16" s="31"/>
      <c r="AR16" s="31"/>
      <c r="AS16" s="31"/>
      <c r="AU16" s="31" t="s">
        <v>36</v>
      </c>
      <c r="AV16" s="31"/>
      <c r="AW16" s="31"/>
      <c r="AX16" s="31"/>
      <c r="BB16" s="4" t="s">
        <v>10</v>
      </c>
      <c r="BC16" t="s">
        <v>45</v>
      </c>
      <c r="BD16" t="s">
        <v>44</v>
      </c>
      <c r="BE16" t="s">
        <v>104</v>
      </c>
      <c r="BF16" t="s">
        <v>43</v>
      </c>
      <c r="BG16" t="s">
        <v>44</v>
      </c>
      <c r="BH16" t="s">
        <v>45</v>
      </c>
      <c r="BI16" t="s">
        <v>46</v>
      </c>
      <c r="BJ16" t="s">
        <v>47</v>
      </c>
      <c r="BK16" t="s">
        <v>48</v>
      </c>
      <c r="BL16" t="s">
        <v>49</v>
      </c>
      <c r="CT16" s="19" t="s">
        <v>98</v>
      </c>
      <c r="CU16" s="19" t="s">
        <v>99</v>
      </c>
      <c r="CV16" s="19" t="s">
        <v>100</v>
      </c>
      <c r="CW16" s="19" t="s">
        <v>101</v>
      </c>
      <c r="CY16" s="19" t="s">
        <v>98</v>
      </c>
      <c r="CZ16" s="19" t="s">
        <v>99</v>
      </c>
      <c r="DA16" s="19" t="s">
        <v>103</v>
      </c>
      <c r="DB16" s="19" t="s">
        <v>105</v>
      </c>
    </row>
    <row r="17" spans="6:114" x14ac:dyDescent="0.25">
      <c r="R17" t="s">
        <v>90</v>
      </c>
      <c r="S17" t="s">
        <v>90</v>
      </c>
      <c r="T17" t="s">
        <v>90</v>
      </c>
      <c r="U17" t="s">
        <v>90</v>
      </c>
      <c r="W17" t="s">
        <v>90</v>
      </c>
      <c r="X17" t="s">
        <v>90</v>
      </c>
      <c r="Y17" t="s">
        <v>90</v>
      </c>
      <c r="Z17" t="s">
        <v>90</v>
      </c>
      <c r="AB17" t="s">
        <v>60</v>
      </c>
      <c r="AD17" t="s">
        <v>91</v>
      </c>
      <c r="AE17" t="s">
        <v>91</v>
      </c>
      <c r="AF17" t="s">
        <v>91</v>
      </c>
      <c r="AG17" t="s">
        <v>91</v>
      </c>
      <c r="AI17" t="s">
        <v>91</v>
      </c>
      <c r="AJ17" t="s">
        <v>91</v>
      </c>
      <c r="AK17" t="s">
        <v>91</v>
      </c>
      <c r="AL17" t="s">
        <v>91</v>
      </c>
      <c r="AP17" t="s">
        <v>98</v>
      </c>
      <c r="AQ17" t="s">
        <v>99</v>
      </c>
      <c r="AR17" t="s">
        <v>100</v>
      </c>
      <c r="AS17" t="s">
        <v>101</v>
      </c>
      <c r="AU17" t="s">
        <v>98</v>
      </c>
      <c r="AV17" t="s">
        <v>99</v>
      </c>
      <c r="AW17" t="s">
        <v>100</v>
      </c>
      <c r="AX17" t="s">
        <v>101</v>
      </c>
      <c r="BB17" s="4"/>
      <c r="DF17" t="s">
        <v>125</v>
      </c>
      <c r="DH17" t="s">
        <v>111</v>
      </c>
      <c r="DI17" t="s">
        <v>120</v>
      </c>
      <c r="DJ17" t="s">
        <v>122</v>
      </c>
    </row>
    <row r="18" spans="6:114" x14ac:dyDescent="0.25">
      <c r="F18" s="12">
        <v>0</v>
      </c>
      <c r="G18" s="12">
        <f>G4/(G4+H4)</f>
        <v>0.20999999990652471</v>
      </c>
      <c r="H18" s="12">
        <f>H4/(G4+H4)</f>
        <v>0.79000000009347526</v>
      </c>
      <c r="I18" s="14">
        <f>I4/I4</f>
        <v>1</v>
      </c>
      <c r="J18" s="14">
        <f>J4/($J$4+$K$4+$L$4+$M$4+$N$4+$O$4+$P$4)</f>
        <v>0</v>
      </c>
      <c r="K18" s="14">
        <f t="shared" ref="K18:P18" si="0">K4/($J$4+$K$4+$L$4+$M$4+$N$4+$O$4+$P$4)</f>
        <v>6.6141241455206667E-2</v>
      </c>
      <c r="L18" s="14">
        <f t="shared" si="0"/>
        <v>0</v>
      </c>
      <c r="M18" s="14">
        <f t="shared" si="0"/>
        <v>0.32000236354627876</v>
      </c>
      <c r="N18" s="14">
        <f t="shared" si="0"/>
        <v>0.42992985170663861</v>
      </c>
      <c r="O18" s="14">
        <f t="shared" si="0"/>
        <v>4.1178430304422136E-7</v>
      </c>
      <c r="P18" s="14">
        <f t="shared" si="0"/>
        <v>0.18392613150757287</v>
      </c>
      <c r="Q18" s="15"/>
      <c r="R18">
        <f>'ASPEN Ex steam'!Y7</f>
        <v>0</v>
      </c>
      <c r="S18">
        <f>'ASPEN Ex steam'!O7</f>
        <v>-12532.7912</v>
      </c>
      <c r="T18">
        <f>'ASPEN Ex steam'!P7</f>
        <v>451147249</v>
      </c>
      <c r="U18">
        <f>'ASPEN Ex steam'!Q7</f>
        <v>-18443300.899999999</v>
      </c>
      <c r="W18">
        <f>'ASPEN Ex steam'!AA7</f>
        <v>0</v>
      </c>
      <c r="X18">
        <f>S18</f>
        <v>-12532.7912</v>
      </c>
      <c r="Y18" s="5">
        <f>'ASPEN Ex steam'!R7</f>
        <v>95447533.700000003</v>
      </c>
      <c r="Z18">
        <f>'ASPEN Ex steam'!S7</f>
        <v>-61236363.600000001</v>
      </c>
      <c r="AB18">
        <v>298</v>
      </c>
      <c r="AD18">
        <f>'ASPEN Ex steam'!Z7</f>
        <v>0</v>
      </c>
      <c r="AE18">
        <f>'ASPEN Ex steam'!T7</f>
        <v>4233.3923999999997</v>
      </c>
      <c r="AF18">
        <f>'ASPEN Ex steam'!U7</f>
        <v>93584.823600000003</v>
      </c>
      <c r="AG18">
        <f>'ASPEN Ex steam'!V7</f>
        <v>89841.603099999993</v>
      </c>
      <c r="AI18">
        <f>'ASPEN Ex steam'!AB7</f>
        <v>0</v>
      </c>
      <c r="AJ18">
        <f>AE18</f>
        <v>4233.3923999999997</v>
      </c>
      <c r="AK18">
        <f>'ASPEN Ex steam'!W7</f>
        <v>-393625.54499999998</v>
      </c>
      <c r="AL18">
        <f>'ASPEN Ex steam'!X7</f>
        <v>33661.8488</v>
      </c>
      <c r="AP18">
        <f>(R18-W18)-AB18*(AD18-AI18)</f>
        <v>0</v>
      </c>
      <c r="AQ18">
        <f>(S18-X18)-AB18*(AE18-AJ18)</f>
        <v>0</v>
      </c>
      <c r="AR18">
        <f>(T18-Y18)-AB18*(AF18-AK18)</f>
        <v>210511025.45720002</v>
      </c>
      <c r="AS18">
        <f>(U18-Z18)-AB18*(AG18-AL18)</f>
        <v>26051495.918600004</v>
      </c>
      <c r="AU18">
        <f>AP18/1000000</f>
        <v>0</v>
      </c>
      <c r="AV18">
        <f>AQ18/1000000</f>
        <v>0</v>
      </c>
      <c r="AW18">
        <f>AR18/1000000</f>
        <v>210.51102545720002</v>
      </c>
      <c r="AX18">
        <f>AS18/1000000</f>
        <v>26.051495918600004</v>
      </c>
      <c r="BB18">
        <f>F18*$BB$12</f>
        <v>0</v>
      </c>
      <c r="BC18">
        <f>G18*$BC$12</f>
        <v>0.83369999962890318</v>
      </c>
      <c r="BD18">
        <f>H18*$BD$12</f>
        <v>0.56880000006730214</v>
      </c>
      <c r="BE18">
        <f>I18*$BE$12</f>
        <v>4458.1845000000003</v>
      </c>
      <c r="BF18">
        <f>J18*$BF$12</f>
        <v>0</v>
      </c>
      <c r="BG18">
        <f>K18*$BG$12</f>
        <v>4.7621693847748801E-2</v>
      </c>
      <c r="BH18">
        <f>L18*$BH$12</f>
        <v>0</v>
      </c>
      <c r="BI18">
        <f>M18*$BI$12</f>
        <v>75.552558033276412</v>
      </c>
      <c r="BJ18">
        <f>N18*$BJ$12</f>
        <v>118.23500851784269</v>
      </c>
      <c r="BK18">
        <f>O18*$BK$12</f>
        <v>8.1574470433060242E-6</v>
      </c>
      <c r="BL18">
        <f>P18*$BL$12</f>
        <v>152.96216726827296</v>
      </c>
      <c r="BN18">
        <f>BB18</f>
        <v>0</v>
      </c>
      <c r="BO18">
        <f>BC18+BD18</f>
        <v>1.4024999996962053</v>
      </c>
      <c r="BP18">
        <f>BE18</f>
        <v>4458.1845000000003</v>
      </c>
      <c r="BQ18">
        <f>SUM(BF18:BL18)</f>
        <v>346.79736367068688</v>
      </c>
      <c r="BS18" s="15"/>
      <c r="BT18" s="15">
        <f t="shared" ref="BT18:CC28" si="1">G18*LN(G18)</f>
        <v>-0.32773602708317362</v>
      </c>
      <c r="BU18" s="15">
        <f t="shared" si="1"/>
        <v>-0.18622064341020414</v>
      </c>
      <c r="BV18" s="15">
        <f t="shared" si="1"/>
        <v>0</v>
      </c>
      <c r="BW18" s="15"/>
      <c r="BX18" s="15">
        <f t="shared" si="1"/>
        <v>-0.17963715143688569</v>
      </c>
      <c r="BY18" s="15"/>
      <c r="BZ18" s="15">
        <f t="shared" si="1"/>
        <v>-0.36461930017092925</v>
      </c>
      <c r="CA18" s="15">
        <f t="shared" si="1"/>
        <v>-0.36291806973777763</v>
      </c>
      <c r="CB18" s="15">
        <f t="shared" si="1"/>
        <v>-6.0543683164255526E-6</v>
      </c>
      <c r="CC18" s="15">
        <f t="shared" si="1"/>
        <v>-0.31142759956951444</v>
      </c>
      <c r="CE18" s="15">
        <f>BS18</f>
        <v>0</v>
      </c>
      <c r="CF18" s="15">
        <f>BT18+BU18</f>
        <v>-0.51395667049337779</v>
      </c>
      <c r="CG18" s="15">
        <f>BV18</f>
        <v>0</v>
      </c>
      <c r="CH18" s="15">
        <f>SUM(BW18:CC18)</f>
        <v>-1.2186081752834235</v>
      </c>
      <c r="CJ18">
        <f>8.3144/1000</f>
        <v>8.3143999999999996E-3</v>
      </c>
      <c r="CK18">
        <v>298.14999999999998</v>
      </c>
      <c r="CM18">
        <f>BN18+CJ18*CK18*CE18</f>
        <v>0</v>
      </c>
      <c r="CN18">
        <f>BO18+CJ18*CK18*CF18</f>
        <v>0.12843309383229107</v>
      </c>
      <c r="CO18">
        <f>BP18+CJ18*CK18*CG18</f>
        <v>4458.1845000000003</v>
      </c>
      <c r="CP18">
        <f>BQ18+CJ18*CK18*CH18</f>
        <v>343.7765091191672</v>
      </c>
      <c r="CT18">
        <f>AU18+CM18</f>
        <v>0</v>
      </c>
      <c r="CU18">
        <f>AV18+CN18</f>
        <v>0.12843309383229107</v>
      </c>
      <c r="CV18">
        <f>AW18+CO18</f>
        <v>4668.6955254572003</v>
      </c>
      <c r="CW18">
        <f>AX18+CP18</f>
        <v>369.82800503776718</v>
      </c>
      <c r="CY18">
        <f>CT18*F4*1000</f>
        <v>0</v>
      </c>
      <c r="CZ18" s="5">
        <f>CU18*(G4+H4)*1000</f>
        <v>1.2365812209118819E-4</v>
      </c>
      <c r="DA18" s="5">
        <f>CV18*I4*1000</f>
        <v>8214.4954047222236</v>
      </c>
      <c r="DB18">
        <f>CW18*SUM(J4:P4)*1000</f>
        <v>44985.16846622408</v>
      </c>
      <c r="DD18">
        <f>'Ch-exr of biomass'!$E$34</f>
        <v>63893.670989028738</v>
      </c>
      <c r="DF18" s="30">
        <v>0</v>
      </c>
      <c r="DH18" s="13">
        <f>(DB18+DA18)/(CY18+CZ18+DD18)</f>
        <v>0.83262806698209679</v>
      </c>
      <c r="DI18" s="13">
        <f>(CV33+CW33)/(CT33+CU33+DD18)</f>
        <v>5.5392728042669113E-2</v>
      </c>
      <c r="DJ18" s="13">
        <f>(DB33+DA33)/(CZ33+CY33+DD18)</f>
        <v>0.77723533904663333</v>
      </c>
    </row>
    <row r="19" spans="6:114" x14ac:dyDescent="0.25">
      <c r="F19" s="12">
        <f t="shared" ref="F19:F28" si="2">F5/F5</f>
        <v>1</v>
      </c>
      <c r="G19" s="12">
        <f t="shared" ref="G19:G28" si="3">G5/(G5+H5)</f>
        <v>0.20999999990652471</v>
      </c>
      <c r="H19" s="12">
        <f t="shared" ref="H19:H28" si="4">H5/(G5+H5)</f>
        <v>0.79000000009347526</v>
      </c>
      <c r="I19" s="14">
        <f t="shared" ref="I19:I21" si="5">I5/I5</f>
        <v>1</v>
      </c>
      <c r="J19" s="14">
        <f>J5/($J$5+$K$5+$L$5+$M$5+$N$5+$O$5+$P$5)</f>
        <v>0</v>
      </c>
      <c r="K19" s="14">
        <f t="shared" ref="K19:P19" si="6">K5/($J$5+$K$5+$L$5+$M$5+$N$5+$O$5+$P$5)</f>
        <v>6.4373988161025561E-2</v>
      </c>
      <c r="L19" s="14">
        <f t="shared" si="6"/>
        <v>0</v>
      </c>
      <c r="M19" s="14">
        <f t="shared" si="6"/>
        <v>0.30515632408900645</v>
      </c>
      <c r="N19" s="14">
        <f t="shared" si="6"/>
        <v>0.43327543820269943</v>
      </c>
      <c r="O19" s="14">
        <f t="shared" si="6"/>
        <v>7.8417981611888816E-7</v>
      </c>
      <c r="P19" s="14">
        <f t="shared" si="6"/>
        <v>0.19719346536745239</v>
      </c>
      <c r="Q19" s="15"/>
      <c r="R19">
        <f>'ASPEN Ex steam'!Y8</f>
        <v>-281599973</v>
      </c>
      <c r="S19">
        <f>'ASPEN Ex steam'!O8</f>
        <v>-12532.7912</v>
      </c>
      <c r="T19">
        <f>'ASPEN Ex steam'!P8</f>
        <v>434886477</v>
      </c>
      <c r="U19">
        <f>'ASPEN Ex steam'!Q8</f>
        <v>-21476120.5</v>
      </c>
      <c r="W19">
        <f>'ASPEN Ex steam'!AA8</f>
        <v>-287753612</v>
      </c>
      <c r="X19">
        <f t="shared" ref="X19:X28" si="7">S19</f>
        <v>-12532.7912</v>
      </c>
      <c r="Y19" s="5">
        <f>'ASPEN Ex steam'!R8</f>
        <v>95407475</v>
      </c>
      <c r="Z19">
        <f>'ASPEN Ex steam'!S8</f>
        <v>-62595267.200000003</v>
      </c>
      <c r="AB19">
        <v>298</v>
      </c>
      <c r="AD19">
        <f>'ASPEN Ex steam'!Z8</f>
        <v>-149605.666</v>
      </c>
      <c r="AE19">
        <f>'ASPEN Ex steam'!T8</f>
        <v>4233.3923999999997</v>
      </c>
      <c r="AF19">
        <f>'ASPEN Ex steam'!U8</f>
        <v>82134.157300000006</v>
      </c>
      <c r="AG19">
        <f>'ASPEN Ex steam'!V8</f>
        <v>88125.1878</v>
      </c>
      <c r="AI19">
        <v>-168014.842</v>
      </c>
      <c r="AJ19">
        <f t="shared" ref="AJ19:AJ28" si="8">AE19</f>
        <v>4233.3923999999997</v>
      </c>
      <c r="AK19">
        <f>'ASPEN Ex steam'!W8</f>
        <v>-393604.74200000003</v>
      </c>
      <c r="AL19">
        <f>'ASPEN Ex steam'!X8</f>
        <v>32913.2451</v>
      </c>
      <c r="AP19">
        <f t="shared" ref="AP19:AP28" si="9">(R19-W19)-AB19*(AD19-AI19)</f>
        <v>667704.55199999828</v>
      </c>
      <c r="AQ19">
        <f t="shared" ref="AQ19:AQ28" si="10">(S19-X19)-AB19*(AE19-AJ19)</f>
        <v>0</v>
      </c>
      <c r="AR19">
        <f t="shared" ref="AR19:AR28" si="11">(T19-Y19)-AB19*(AF19-AK19)</f>
        <v>197708810.0086</v>
      </c>
      <c r="AS19">
        <f t="shared" ref="AS19:AS28" si="12">(U19-Z19)-AB19*(AG19-AL19)</f>
        <v>24665987.775400005</v>
      </c>
      <c r="AU19">
        <f t="shared" ref="AU19:AU28" si="13">AP19/1000000</f>
        <v>0.66770455199999823</v>
      </c>
      <c r="AV19">
        <f t="shared" ref="AV19:AV28" si="14">AQ19/1000000</f>
        <v>0</v>
      </c>
      <c r="AW19">
        <f t="shared" ref="AW19:AW28" si="15">AR19/1000000</f>
        <v>197.70881000859998</v>
      </c>
      <c r="AX19">
        <f t="shared" ref="AX19:AX28" si="16">AS19/1000000</f>
        <v>24.665987775400005</v>
      </c>
      <c r="BB19">
        <f t="shared" ref="BB19:BB28" si="17">F19*$BB$12</f>
        <v>11.39</v>
      </c>
      <c r="BC19">
        <f t="shared" ref="BC19:BC28" si="18">G19*$BC$12</f>
        <v>0.83369999962890318</v>
      </c>
      <c r="BD19">
        <f t="shared" ref="BD19:BD28" si="19">H19*$BD$12</f>
        <v>0.56880000006730214</v>
      </c>
      <c r="BE19">
        <f t="shared" ref="BE19:BE28" si="20">I19*$BE$12</f>
        <v>4458.1845000000003</v>
      </c>
      <c r="BF19">
        <f t="shared" ref="BF19:BF28" si="21">J19*$BF$12</f>
        <v>0</v>
      </c>
      <c r="BG19">
        <f t="shared" ref="BG19:BG28" si="22">K19*$BG$12</f>
        <v>4.6349271475938404E-2</v>
      </c>
      <c r="BH19">
        <f t="shared" ref="BH19:BH28" si="23">L19*$BH$12</f>
        <v>0</v>
      </c>
      <c r="BI19">
        <f t="shared" ref="BI19:BI28" si="24">M19*$BI$12</f>
        <v>72.04740811741442</v>
      </c>
      <c r="BJ19">
        <f t="shared" ref="BJ19:BJ28" si="25">N19*$BJ$12</f>
        <v>119.15507826012437</v>
      </c>
      <c r="BK19">
        <f t="shared" ref="BK19:BK28" si="26">O19*$BK$12</f>
        <v>1.5534602157315175E-5</v>
      </c>
      <c r="BL19">
        <f t="shared" ref="BL19:BL28" si="27">P19*$BL$12</f>
        <v>163.99594547284178</v>
      </c>
      <c r="BN19">
        <f t="shared" ref="BN19:BN28" si="28">BB19</f>
        <v>11.39</v>
      </c>
      <c r="BO19">
        <f t="shared" ref="BO19:BO28" si="29">BC19+BD19</f>
        <v>1.4024999996962053</v>
      </c>
      <c r="BP19">
        <f t="shared" ref="BP19:BP28" si="30">BE19</f>
        <v>4458.1845000000003</v>
      </c>
      <c r="BQ19">
        <f t="shared" ref="BQ19:BQ28" si="31">SUM(BF19:BL19)</f>
        <v>355.24479665645867</v>
      </c>
      <c r="BS19" s="15">
        <f t="shared" ref="BS19:BS28" si="32">F19*LN(F19)</f>
        <v>0</v>
      </c>
      <c r="BT19" s="15">
        <f t="shared" si="1"/>
        <v>-0.32773602708317362</v>
      </c>
      <c r="BU19" s="15">
        <f t="shared" si="1"/>
        <v>-0.18622064341020414</v>
      </c>
      <c r="BV19" s="15"/>
      <c r="BW19" s="15"/>
      <c r="BX19" s="15">
        <f t="shared" si="1"/>
        <v>-0.1765807874263278</v>
      </c>
      <c r="BY19" s="15"/>
      <c r="BZ19" s="15">
        <f t="shared" si="1"/>
        <v>-0.36219953010486494</v>
      </c>
      <c r="CA19" s="15">
        <f t="shared" si="1"/>
        <v>-0.36238362039461153</v>
      </c>
      <c r="CB19" s="15">
        <f t="shared" si="1"/>
        <v>-1.102449191654165E-5</v>
      </c>
      <c r="CC19" s="15">
        <f t="shared" si="1"/>
        <v>-0.32015738952726336</v>
      </c>
      <c r="CE19" s="15">
        <f t="shared" ref="CE19:CE28" si="33">BS19</f>
        <v>0</v>
      </c>
      <c r="CF19" s="15">
        <f t="shared" ref="CF19:CF28" si="34">BT19+BU19</f>
        <v>-0.51395667049337779</v>
      </c>
      <c r="CG19" s="15">
        <f t="shared" ref="CG19:CG28" si="35">BV19</f>
        <v>0</v>
      </c>
      <c r="CH19" s="15">
        <f t="shared" ref="CH19:CH28" si="36">SUM(BW19:CC19)</f>
        <v>-1.2213323519449841</v>
      </c>
      <c r="CJ19">
        <f t="shared" ref="CJ19:CJ28" si="37">8.3144/1000</f>
        <v>8.3143999999999996E-3</v>
      </c>
      <c r="CK19">
        <v>298.14999999999998</v>
      </c>
      <c r="CM19">
        <f t="shared" ref="CM19:CM28" si="38">BN19+CJ19*CK19*CE19</f>
        <v>11.39</v>
      </c>
      <c r="CN19">
        <f t="shared" ref="CN19:CN28" si="39">BO19+CJ19*CK19*CF19</f>
        <v>0.12843309383229107</v>
      </c>
      <c r="CO19">
        <f t="shared" ref="CO19:CO28" si="40">BP19+CJ19*CK19*CG19</f>
        <v>4458.1845000000003</v>
      </c>
      <c r="CP19">
        <f t="shared" ref="CP19:CP28" si="41">BQ19+CJ19*CK19*CH19</f>
        <v>352.21718903891326</v>
      </c>
      <c r="CT19">
        <f t="shared" ref="CT19:CT28" si="42">AU19+CM19</f>
        <v>12.057704551999999</v>
      </c>
      <c r="CU19">
        <f t="shared" ref="CU19:CU28" si="43">AV19+CN19</f>
        <v>0.12843309383229107</v>
      </c>
      <c r="CV19">
        <f t="shared" ref="CV19:CV28" si="44">AW19+CO19</f>
        <v>4655.8933100086006</v>
      </c>
      <c r="CW19">
        <f t="shared" ref="CW19:CW28" si="45">AX19+CP19</f>
        <v>376.88317681431329</v>
      </c>
      <c r="CY19">
        <f t="shared" ref="CY19:CY28" si="46">CT19*F5*1000</f>
        <v>76.300691389201205</v>
      </c>
      <c r="CZ19" s="5">
        <f t="shared" ref="CZ19:CZ28" si="47">CU19*(G5+H5)*1000</f>
        <v>1.2365812209118819E-4</v>
      </c>
      <c r="DA19" s="5">
        <f t="shared" ref="DA19:DA28" si="48">CV19*I5*1000</f>
        <v>2001.9702630710583</v>
      </c>
      <c r="DB19">
        <f t="shared" ref="DB19:DB28" si="49">CW19*SUM(J5:P5)*1000</f>
        <v>50993.710116968738</v>
      </c>
      <c r="DD19">
        <f>'Ch-exr of biomass'!$E$34</f>
        <v>63893.670989028738</v>
      </c>
      <c r="DF19" s="30">
        <v>5.8965517241379307E-2</v>
      </c>
      <c r="DH19" s="13">
        <f t="shared" ref="DH19:DH28" si="50">(DB19+DA19)/(CY19+CZ19+DD19)</f>
        <v>0.82844620507809885</v>
      </c>
      <c r="DI19" s="13">
        <f t="shared" ref="DI19:DI28" si="51">(CV34+CW34)/(CT34+CU34+DD19)</f>
        <v>5.3560650957435327E-2</v>
      </c>
      <c r="DJ19" s="13">
        <f t="shared" ref="DJ19:DJ28" si="52">(DB34+DA34)/(CZ34+CY34+DD19)</f>
        <v>0.77499708990357341</v>
      </c>
    </row>
    <row r="20" spans="6:114" x14ac:dyDescent="0.25">
      <c r="F20" s="12">
        <f t="shared" si="2"/>
        <v>1</v>
      </c>
      <c r="G20" s="12">
        <f t="shared" si="3"/>
        <v>0.20999999990652471</v>
      </c>
      <c r="H20" s="12">
        <f t="shared" si="4"/>
        <v>0.79000000009347526</v>
      </c>
      <c r="I20" s="14">
        <f t="shared" si="5"/>
        <v>1</v>
      </c>
      <c r="J20" s="14">
        <f>J6/($J$6+$K$6+$L$6+$M$6+$N$6+$O$6+$P$6)</f>
        <v>0</v>
      </c>
      <c r="K20" s="14">
        <f t="shared" ref="K20:P20" si="53">K6/($J$6+$K$6+$L$6+$M$6+$N$6+$O$6+$P$6)</f>
        <v>5.8499544957187545E-2</v>
      </c>
      <c r="L20" s="14">
        <f t="shared" si="53"/>
        <v>0</v>
      </c>
      <c r="M20" s="14">
        <f t="shared" si="53"/>
        <v>0.35981427828114299</v>
      </c>
      <c r="N20" s="14">
        <f t="shared" si="53"/>
        <v>0.42571734945064199</v>
      </c>
      <c r="O20" s="14">
        <f t="shared" si="53"/>
        <v>7.3748067069992622E-6</v>
      </c>
      <c r="P20" s="14">
        <f t="shared" si="53"/>
        <v>0.1559614525043205</v>
      </c>
      <c r="Q20" s="15"/>
      <c r="R20">
        <f>'ASPEN Ex steam'!Y9</f>
        <v>-281599973</v>
      </c>
      <c r="S20">
        <f>'ASPEN Ex steam'!O9</f>
        <v>-12532.7912</v>
      </c>
      <c r="T20">
        <f>'ASPEN Ex steam'!P9</f>
        <v>396644172</v>
      </c>
      <c r="U20">
        <f>'ASPEN Ex steam'!Q9</f>
        <v>-23198929.100000001</v>
      </c>
      <c r="W20">
        <f>'ASPEN Ex steam'!AA9</f>
        <v>-287753612</v>
      </c>
      <c r="X20">
        <f t="shared" si="7"/>
        <v>-12532.7912</v>
      </c>
      <c r="Y20" s="5">
        <f>'ASPEN Ex steam'!R9</f>
        <v>90002073.200000003</v>
      </c>
      <c r="Z20">
        <f>'ASPEN Ex steam'!S9</f>
        <v>-58688891</v>
      </c>
      <c r="AB20">
        <v>298</v>
      </c>
      <c r="AD20">
        <f>'ASPEN Ex steam'!Z9</f>
        <v>-149605.666</v>
      </c>
      <c r="AE20">
        <f>'ASPEN Ex steam'!T9</f>
        <v>4233.3923999999997</v>
      </c>
      <c r="AF20">
        <f>'ASPEN Ex steam'!U9</f>
        <v>59292.885300000002</v>
      </c>
      <c r="AG20">
        <f>'ASPEN Ex steam'!V9</f>
        <v>85677.674700000003</v>
      </c>
      <c r="AI20">
        <v>-168014.842</v>
      </c>
      <c r="AJ20">
        <f t="shared" si="8"/>
        <v>4233.3923999999997</v>
      </c>
      <c r="AK20">
        <f>'ASPEN Ex steam'!W9</f>
        <v>-391484.70799999998</v>
      </c>
      <c r="AL20">
        <f>'ASPEN Ex steam'!X9</f>
        <v>35280.8361</v>
      </c>
      <c r="AP20">
        <f t="shared" si="9"/>
        <v>667704.55199999828</v>
      </c>
      <c r="AQ20">
        <f t="shared" si="10"/>
        <v>0</v>
      </c>
      <c r="AR20">
        <f t="shared" si="11"/>
        <v>172310375.9966</v>
      </c>
      <c r="AS20">
        <f t="shared" si="12"/>
        <v>20471703.997199997</v>
      </c>
      <c r="AU20">
        <f t="shared" si="13"/>
        <v>0.66770455199999823</v>
      </c>
      <c r="AV20">
        <f t="shared" si="14"/>
        <v>0</v>
      </c>
      <c r="AW20">
        <f t="shared" si="15"/>
        <v>172.31037599660002</v>
      </c>
      <c r="AX20">
        <f t="shared" si="16"/>
        <v>20.471703997199999</v>
      </c>
      <c r="BB20">
        <f t="shared" si="17"/>
        <v>11.39</v>
      </c>
      <c r="BC20">
        <f t="shared" si="18"/>
        <v>0.83369999962890318</v>
      </c>
      <c r="BD20">
        <f t="shared" si="19"/>
        <v>0.56880000006730214</v>
      </c>
      <c r="BE20">
        <f t="shared" si="20"/>
        <v>4458.1845000000003</v>
      </c>
      <c r="BF20">
        <f t="shared" si="21"/>
        <v>0</v>
      </c>
      <c r="BG20">
        <f t="shared" si="22"/>
        <v>4.2119672369175028E-2</v>
      </c>
      <c r="BH20">
        <f t="shared" si="23"/>
        <v>0</v>
      </c>
      <c r="BI20">
        <f t="shared" si="24"/>
        <v>84.952151102177851</v>
      </c>
      <c r="BJ20">
        <f t="shared" si="25"/>
        <v>117.07652827242104</v>
      </c>
      <c r="BK20">
        <f t="shared" si="26"/>
        <v>1.4609492086565536E-4</v>
      </c>
      <c r="BL20">
        <f t="shared" si="27"/>
        <v>129.70534197521815</v>
      </c>
      <c r="BN20">
        <f t="shared" si="28"/>
        <v>11.39</v>
      </c>
      <c r="BO20">
        <f t="shared" si="29"/>
        <v>1.4024999996962053</v>
      </c>
      <c r="BP20">
        <f t="shared" si="30"/>
        <v>4458.1845000000003</v>
      </c>
      <c r="BQ20">
        <f t="shared" si="31"/>
        <v>331.77628711710713</v>
      </c>
      <c r="BS20" s="15">
        <f t="shared" si="32"/>
        <v>0</v>
      </c>
      <c r="BT20" s="15">
        <f t="shared" si="1"/>
        <v>-0.32773602708317362</v>
      </c>
      <c r="BU20" s="15">
        <f t="shared" si="1"/>
        <v>-0.18622064341020414</v>
      </c>
      <c r="BV20" s="15"/>
      <c r="BW20" s="15"/>
      <c r="BX20" s="15">
        <f t="shared" si="1"/>
        <v>-0.16606478199557406</v>
      </c>
      <c r="BY20" s="15"/>
      <c r="BZ20" s="15">
        <f t="shared" si="1"/>
        <v>-0.36779038009003701</v>
      </c>
      <c r="CA20" s="15">
        <f t="shared" si="1"/>
        <v>-0.36355395387792366</v>
      </c>
      <c r="CB20" s="15">
        <f t="shared" si="1"/>
        <v>-8.715134215299854E-5</v>
      </c>
      <c r="CC20" s="15">
        <f t="shared" si="1"/>
        <v>-0.28979921175889256</v>
      </c>
      <c r="CE20" s="15">
        <f t="shared" si="33"/>
        <v>0</v>
      </c>
      <c r="CF20" s="15">
        <f t="shared" si="34"/>
        <v>-0.51395667049337779</v>
      </c>
      <c r="CG20" s="15">
        <f t="shared" si="35"/>
        <v>0</v>
      </c>
      <c r="CH20" s="15">
        <f t="shared" si="36"/>
        <v>-1.1872954790645802</v>
      </c>
      <c r="CJ20">
        <f t="shared" si="37"/>
        <v>8.3143999999999996E-3</v>
      </c>
      <c r="CK20">
        <v>298.14999999999998</v>
      </c>
      <c r="CM20">
        <f t="shared" si="38"/>
        <v>11.39</v>
      </c>
      <c r="CN20">
        <f t="shared" si="39"/>
        <v>0.12843309383229107</v>
      </c>
      <c r="CO20">
        <f t="shared" si="40"/>
        <v>4458.1845000000003</v>
      </c>
      <c r="CP20">
        <f t="shared" si="41"/>
        <v>328.83305480939936</v>
      </c>
      <c r="CT20">
        <f t="shared" si="42"/>
        <v>12.057704551999999</v>
      </c>
      <c r="CU20">
        <f t="shared" si="43"/>
        <v>0.12843309383229107</v>
      </c>
      <c r="CV20">
        <f t="shared" si="44"/>
        <v>4630.4948759966001</v>
      </c>
      <c r="CW20">
        <f t="shared" si="45"/>
        <v>349.30475880659935</v>
      </c>
      <c r="CY20">
        <f t="shared" si="46"/>
        <v>152.60138277840241</v>
      </c>
      <c r="CZ20" s="5">
        <f t="shared" si="47"/>
        <v>1.2365812209118819E-4</v>
      </c>
      <c r="DA20" s="5">
        <f t="shared" si="48"/>
        <v>0.13473310979516528</v>
      </c>
      <c r="DB20">
        <f t="shared" si="49"/>
        <v>53291.907628579247</v>
      </c>
      <c r="DD20">
        <f>'Ch-exr of biomass'!$E$34</f>
        <v>63893.670989028738</v>
      </c>
      <c r="DF20" s="30">
        <v>0.11793103448275861</v>
      </c>
      <c r="DH20" s="13">
        <f t="shared" si="50"/>
        <v>0.8320865568790492</v>
      </c>
      <c r="DI20" s="13">
        <f t="shared" si="51"/>
        <v>4.8876058806951506E-2</v>
      </c>
      <c r="DJ20" s="13">
        <f t="shared" si="52"/>
        <v>0.78342387186242957</v>
      </c>
    </row>
    <row r="21" spans="6:114" x14ac:dyDescent="0.25">
      <c r="F21" s="12">
        <f t="shared" si="2"/>
        <v>1</v>
      </c>
      <c r="G21" s="12">
        <f t="shared" si="3"/>
        <v>0.20999999990652471</v>
      </c>
      <c r="H21" s="12">
        <f t="shared" si="4"/>
        <v>0.79000000009347526</v>
      </c>
      <c r="I21" s="14">
        <f t="shared" si="5"/>
        <v>1</v>
      </c>
      <c r="J21" s="14">
        <f>J7/($J$7+$K$7+$L$7+$M$7+$N$7+$O$7+$P$7)</f>
        <v>0</v>
      </c>
      <c r="K21" s="14">
        <f t="shared" ref="K21:P21" si="54">K7/($J$7+$K$7+$L$7+$M$7+$N$7+$O$7+$P$7)</f>
        <v>5.2046371350895231E-2</v>
      </c>
      <c r="L21" s="14">
        <f t="shared" si="54"/>
        <v>0</v>
      </c>
      <c r="M21" s="14">
        <f t="shared" si="54"/>
        <v>0.43043359993436564</v>
      </c>
      <c r="N21" s="14">
        <f t="shared" si="54"/>
        <v>0.41526580665353385</v>
      </c>
      <c r="O21" s="14">
        <f t="shared" si="54"/>
        <v>2.02025559022784E-4</v>
      </c>
      <c r="P21" s="14">
        <f t="shared" si="54"/>
        <v>0.10205219650218247</v>
      </c>
      <c r="Q21" s="15"/>
      <c r="R21">
        <f>'ASPEN Ex steam'!Y10</f>
        <v>-281599973</v>
      </c>
      <c r="S21">
        <f>'ASPEN Ex steam'!O10</f>
        <v>-12532.7912</v>
      </c>
      <c r="T21">
        <f>'ASPEN Ex steam'!P10</f>
        <v>92835271.799999997</v>
      </c>
      <c r="U21">
        <f>'ASPEN Ex steam'!Q10</f>
        <v>-24534914.5</v>
      </c>
      <c r="W21">
        <f>'ASPEN Ex steam'!AA10</f>
        <v>-287753612</v>
      </c>
      <c r="X21">
        <f t="shared" si="7"/>
        <v>-12532.7912</v>
      </c>
      <c r="Y21" s="5">
        <f>'ASPEN Ex steam'!R10</f>
        <v>-134195824</v>
      </c>
      <c r="Z21">
        <f>'ASPEN Ex steam'!S10</f>
        <v>-53591810.600000001</v>
      </c>
      <c r="AB21">
        <v>298</v>
      </c>
      <c r="AD21">
        <f>'ASPEN Ex steam'!Z10</f>
        <v>-149605.666</v>
      </c>
      <c r="AE21">
        <f>'ASPEN Ex steam'!T10</f>
        <v>4233.3923999999997</v>
      </c>
      <c r="AF21">
        <f>'ASPEN Ex steam'!U10</f>
        <v>30867.486799999999</v>
      </c>
      <c r="AG21">
        <f>'ASPEN Ex steam'!V10</f>
        <v>82580.769</v>
      </c>
      <c r="AI21">
        <v>-168014.842</v>
      </c>
      <c r="AJ21">
        <f t="shared" si="8"/>
        <v>4233.3923999999997</v>
      </c>
      <c r="AK21">
        <f>'ASPEN Ex steam'!W10</f>
        <v>-341468.23200000002</v>
      </c>
      <c r="AL21">
        <f>'ASPEN Ex steam'!X10</f>
        <v>38105.1319</v>
      </c>
      <c r="AP21">
        <f t="shared" si="9"/>
        <v>667704.55199999828</v>
      </c>
      <c r="AQ21">
        <f t="shared" si="10"/>
        <v>0</v>
      </c>
      <c r="AR21">
        <f t="shared" si="11"/>
        <v>116075051.5976</v>
      </c>
      <c r="AS21">
        <f t="shared" si="12"/>
        <v>15803156.244200002</v>
      </c>
      <c r="AU21">
        <f t="shared" si="13"/>
        <v>0.66770455199999823</v>
      </c>
      <c r="AV21">
        <f t="shared" si="14"/>
        <v>0</v>
      </c>
      <c r="AW21">
        <f t="shared" si="15"/>
        <v>116.07505159759999</v>
      </c>
      <c r="AX21">
        <f t="shared" si="16"/>
        <v>15.803156244200002</v>
      </c>
      <c r="BB21">
        <f t="shared" si="17"/>
        <v>11.39</v>
      </c>
      <c r="BC21">
        <f t="shared" si="18"/>
        <v>0.83369999962890318</v>
      </c>
      <c r="BD21">
        <f t="shared" si="19"/>
        <v>0.56880000006730214</v>
      </c>
      <c r="BE21">
        <f t="shared" si="20"/>
        <v>4458.1845000000003</v>
      </c>
      <c r="BF21">
        <f t="shared" si="21"/>
        <v>0</v>
      </c>
      <c r="BG21">
        <f t="shared" si="22"/>
        <v>3.7473387372644565E-2</v>
      </c>
      <c r="BH21">
        <f t="shared" si="23"/>
        <v>0</v>
      </c>
      <c r="BI21">
        <f t="shared" si="24"/>
        <v>101.62537294450372</v>
      </c>
      <c r="BJ21">
        <f t="shared" si="25"/>
        <v>114.20224948778834</v>
      </c>
      <c r="BK21">
        <f t="shared" si="26"/>
        <v>4.0021263242413507E-3</v>
      </c>
      <c r="BL21">
        <f t="shared" si="27"/>
        <v>84.871709221040049</v>
      </c>
      <c r="BN21">
        <f t="shared" si="28"/>
        <v>11.39</v>
      </c>
      <c r="BO21">
        <f t="shared" si="29"/>
        <v>1.4024999996962053</v>
      </c>
      <c r="BP21">
        <f t="shared" si="30"/>
        <v>4458.1845000000003</v>
      </c>
      <c r="BQ21">
        <f t="shared" si="31"/>
        <v>300.740807167029</v>
      </c>
      <c r="BS21" s="15">
        <f t="shared" si="32"/>
        <v>0</v>
      </c>
      <c r="BT21" s="15">
        <f t="shared" si="1"/>
        <v>-0.32773602708317362</v>
      </c>
      <c r="BU21" s="15">
        <f t="shared" si="1"/>
        <v>-0.18622064341020414</v>
      </c>
      <c r="BV21" s="15"/>
      <c r="BW21" s="15"/>
      <c r="BX21" s="15">
        <f t="shared" si="1"/>
        <v>-0.15382930655509555</v>
      </c>
      <c r="BY21" s="15"/>
      <c r="BZ21" s="15">
        <f t="shared" si="1"/>
        <v>-0.36283925711780923</v>
      </c>
      <c r="CA21" s="15">
        <f t="shared" si="1"/>
        <v>-0.36495073389627619</v>
      </c>
      <c r="CB21" s="15">
        <f t="shared" si="1"/>
        <v>-1.7186549340081369E-3</v>
      </c>
      <c r="CC21" s="15">
        <f t="shared" si="1"/>
        <v>-0.23291075490596144</v>
      </c>
      <c r="CE21" s="15">
        <f t="shared" si="33"/>
        <v>0</v>
      </c>
      <c r="CF21" s="15">
        <f t="shared" si="34"/>
        <v>-0.51395667049337779</v>
      </c>
      <c r="CG21" s="15">
        <f t="shared" si="35"/>
        <v>0</v>
      </c>
      <c r="CH21" s="15">
        <f t="shared" si="36"/>
        <v>-1.1162487074091505</v>
      </c>
      <c r="CJ21">
        <f t="shared" si="37"/>
        <v>8.3143999999999996E-3</v>
      </c>
      <c r="CK21">
        <v>298.14999999999998</v>
      </c>
      <c r="CM21">
        <f t="shared" si="38"/>
        <v>11.39</v>
      </c>
      <c r="CN21">
        <f t="shared" si="39"/>
        <v>0.12843309383229107</v>
      </c>
      <c r="CO21">
        <f t="shared" si="40"/>
        <v>4458.1845000000003</v>
      </c>
      <c r="CP21">
        <f t="shared" si="41"/>
        <v>297.97369542693207</v>
      </c>
      <c r="CT21">
        <f t="shared" si="42"/>
        <v>12.057704551999999</v>
      </c>
      <c r="CU21">
        <f t="shared" si="43"/>
        <v>0.12843309383229107</v>
      </c>
      <c r="CV21">
        <f t="shared" si="44"/>
        <v>4574.2595515976</v>
      </c>
      <c r="CW21">
        <f t="shared" si="45"/>
        <v>313.77685167113208</v>
      </c>
      <c r="CY21">
        <f t="shared" si="46"/>
        <v>228.90207416760359</v>
      </c>
      <c r="CZ21" s="5">
        <f t="shared" si="47"/>
        <v>1.2365812209118819E-4</v>
      </c>
      <c r="DA21" s="5">
        <f t="shared" si="48"/>
        <v>9.4693319150629807E-8</v>
      </c>
      <c r="DB21">
        <f t="shared" si="49"/>
        <v>53807.201496655631</v>
      </c>
      <c r="DD21">
        <f>'Ch-exr of biomass'!$E$34</f>
        <v>63893.670989028738</v>
      </c>
      <c r="DF21" s="30">
        <v>0.17689655172413796</v>
      </c>
      <c r="DH21" s="13">
        <f t="shared" si="50"/>
        <v>0.83913041574228575</v>
      </c>
      <c r="DI21" s="13">
        <f t="shared" si="51"/>
        <v>4.2405222595618242E-2</v>
      </c>
      <c r="DJ21" s="13">
        <f t="shared" si="52"/>
        <v>0.79702574153995154</v>
      </c>
    </row>
    <row r="22" spans="6:114" x14ac:dyDescent="0.25">
      <c r="F22" s="12">
        <f t="shared" si="2"/>
        <v>1</v>
      </c>
      <c r="G22" s="12">
        <f t="shared" si="3"/>
        <v>0.20999999990652471</v>
      </c>
      <c r="H22" s="12">
        <f t="shared" si="4"/>
        <v>0.79000000009347526</v>
      </c>
      <c r="I22" s="14">
        <v>0</v>
      </c>
      <c r="J22" s="14">
        <f>J8/($J$8+$K$8+$L$8+$M$8+$N$8+$O$8+$P$8)</f>
        <v>0</v>
      </c>
      <c r="K22" s="14">
        <f t="shared" ref="K22:P22" si="55">K8/($J$8+$K$8+$L$8+$M$8+$N$8+$O$8+$P$8)</f>
        <v>4.7395129771097534E-2</v>
      </c>
      <c r="L22" s="14">
        <f t="shared" si="55"/>
        <v>0</v>
      </c>
      <c r="M22" s="14">
        <f t="shared" si="55"/>
        <v>0.4813341878643036</v>
      </c>
      <c r="N22" s="14">
        <f t="shared" si="55"/>
        <v>0.40031442295202951</v>
      </c>
      <c r="O22" s="14">
        <f t="shared" si="55"/>
        <v>5.9059485755902997E-3</v>
      </c>
      <c r="P22" s="14">
        <f t="shared" si="55"/>
        <v>6.5050310836979153E-2</v>
      </c>
      <c r="Q22" s="15"/>
      <c r="R22">
        <f>'ASPEN Ex steam'!Y11</f>
        <v>-281599973</v>
      </c>
      <c r="S22">
        <f>'ASPEN Ex steam'!O11</f>
        <v>-12532.7912</v>
      </c>
      <c r="T22">
        <f>'ASPEN Ex steam'!P11</f>
        <v>0</v>
      </c>
      <c r="U22">
        <f>'ASPEN Ex steam'!Q11</f>
        <v>-27097958.100000001</v>
      </c>
      <c r="W22">
        <f>'ASPEN Ex steam'!AA11</f>
        <v>-287753612</v>
      </c>
      <c r="X22">
        <f t="shared" si="7"/>
        <v>-12532.7912</v>
      </c>
      <c r="Y22" s="5">
        <f>'ASPEN Ex steam'!R11</f>
        <v>0</v>
      </c>
      <c r="Z22">
        <f>'ASPEN Ex steam'!S11</f>
        <v>-51425751.200000003</v>
      </c>
      <c r="AB22">
        <v>298</v>
      </c>
      <c r="AD22">
        <f>'ASPEN Ex steam'!Z11</f>
        <v>-149605.666</v>
      </c>
      <c r="AE22">
        <f>'ASPEN Ex steam'!T11</f>
        <v>4233.3923999999997</v>
      </c>
      <c r="AF22">
        <f>'ASPEN Ex steam'!U11</f>
        <v>0</v>
      </c>
      <c r="AG22">
        <f>'ASPEN Ex steam'!V11</f>
        <v>79271.581200000001</v>
      </c>
      <c r="AI22">
        <v>-168014.842</v>
      </c>
      <c r="AJ22">
        <f t="shared" si="8"/>
        <v>4233.3923999999997</v>
      </c>
      <c r="AK22">
        <f>'ASPEN Ex steam'!W11</f>
        <v>0</v>
      </c>
      <c r="AL22">
        <f>'ASPEN Ex steam'!X11</f>
        <v>39394.423300000002</v>
      </c>
      <c r="AP22">
        <f t="shared" si="9"/>
        <v>667704.55199999828</v>
      </c>
      <c r="AQ22">
        <f t="shared" si="10"/>
        <v>0</v>
      </c>
      <c r="AR22">
        <f t="shared" si="11"/>
        <v>0</v>
      </c>
      <c r="AS22">
        <f t="shared" si="12"/>
        <v>12444400.045800002</v>
      </c>
      <c r="AU22">
        <f t="shared" si="13"/>
        <v>0.66770455199999823</v>
      </c>
      <c r="AV22">
        <f t="shared" si="14"/>
        <v>0</v>
      </c>
      <c r="AW22">
        <f t="shared" si="15"/>
        <v>0</v>
      </c>
      <c r="AX22">
        <f t="shared" si="16"/>
        <v>12.444400045800002</v>
      </c>
      <c r="BB22">
        <f t="shared" si="17"/>
        <v>11.39</v>
      </c>
      <c r="BC22">
        <f t="shared" si="18"/>
        <v>0.83369999962890318</v>
      </c>
      <c r="BD22">
        <f t="shared" si="19"/>
        <v>0.56880000006730214</v>
      </c>
      <c r="BE22">
        <f t="shared" si="20"/>
        <v>0</v>
      </c>
      <c r="BF22">
        <f t="shared" si="21"/>
        <v>0</v>
      </c>
      <c r="BG22">
        <f t="shared" si="22"/>
        <v>3.4124493435190223E-2</v>
      </c>
      <c r="BH22">
        <f t="shared" si="23"/>
        <v>0</v>
      </c>
      <c r="BI22">
        <f t="shared" si="24"/>
        <v>113.64300175476208</v>
      </c>
      <c r="BJ22">
        <f t="shared" si="25"/>
        <v>110.09046945603764</v>
      </c>
      <c r="BK22">
        <f t="shared" si="26"/>
        <v>0.11699684128244382</v>
      </c>
      <c r="BL22">
        <f t="shared" si="27"/>
        <v>54.099091007573712</v>
      </c>
      <c r="BN22">
        <f t="shared" si="28"/>
        <v>11.39</v>
      </c>
      <c r="BO22">
        <f t="shared" si="29"/>
        <v>1.4024999996962053</v>
      </c>
      <c r="BP22">
        <f t="shared" si="30"/>
        <v>0</v>
      </c>
      <c r="BQ22">
        <f t="shared" si="31"/>
        <v>277.98368355309105</v>
      </c>
      <c r="BS22" s="15">
        <f t="shared" si="32"/>
        <v>0</v>
      </c>
      <c r="BT22" s="15">
        <f t="shared" si="1"/>
        <v>-0.32773602708317362</v>
      </c>
      <c r="BU22" s="15">
        <f t="shared" si="1"/>
        <v>-0.18622064341020414</v>
      </c>
      <c r="BV22" s="15"/>
      <c r="BW22" s="15"/>
      <c r="BX22" s="15">
        <f t="shared" si="1"/>
        <v>-0.1445189265861076</v>
      </c>
      <c r="BY22" s="15"/>
      <c r="BZ22" s="15">
        <f t="shared" si="1"/>
        <v>-0.35194841642964086</v>
      </c>
      <c r="CA22" s="15">
        <f t="shared" si="1"/>
        <v>-0.36648984908959159</v>
      </c>
      <c r="CB22" s="15">
        <f t="shared" si="1"/>
        <v>-3.030811856846493E-2</v>
      </c>
      <c r="CC22" s="15">
        <f t="shared" si="1"/>
        <v>-0.17775610832035627</v>
      </c>
      <c r="CE22" s="15">
        <f t="shared" si="33"/>
        <v>0</v>
      </c>
      <c r="CF22" s="15">
        <f t="shared" si="34"/>
        <v>-0.51395667049337779</v>
      </c>
      <c r="CG22" s="15">
        <f t="shared" si="35"/>
        <v>0</v>
      </c>
      <c r="CH22" s="15">
        <f t="shared" si="36"/>
        <v>-1.0710214189941611</v>
      </c>
      <c r="CJ22">
        <f t="shared" si="37"/>
        <v>8.3143999999999996E-3</v>
      </c>
      <c r="CK22">
        <v>298.14999999999998</v>
      </c>
      <c r="CM22">
        <f t="shared" si="38"/>
        <v>11.39</v>
      </c>
      <c r="CN22">
        <f t="shared" si="39"/>
        <v>0.12843309383229107</v>
      </c>
      <c r="CO22">
        <f t="shared" si="40"/>
        <v>0</v>
      </c>
      <c r="CP22">
        <f t="shared" si="41"/>
        <v>275.32868747316479</v>
      </c>
      <c r="CT22">
        <f t="shared" si="42"/>
        <v>12.057704551999999</v>
      </c>
      <c r="CU22">
        <f t="shared" si="43"/>
        <v>0.12843309383229107</v>
      </c>
      <c r="CV22">
        <f t="shared" si="44"/>
        <v>0</v>
      </c>
      <c r="CW22">
        <f t="shared" si="45"/>
        <v>287.77308751896481</v>
      </c>
      <c r="CY22">
        <f t="shared" si="46"/>
        <v>305.20276555680482</v>
      </c>
      <c r="CZ22" s="5">
        <f t="shared" si="47"/>
        <v>1.2365812209118819E-4</v>
      </c>
      <c r="DA22" s="5">
        <f t="shared" si="48"/>
        <v>0</v>
      </c>
      <c r="DB22">
        <f t="shared" si="49"/>
        <v>54190.906966591174</v>
      </c>
      <c r="DD22">
        <f>'Ch-exr of biomass'!$E$34</f>
        <v>63893.670989028738</v>
      </c>
      <c r="DF22" s="30">
        <v>0.23586206896551723</v>
      </c>
      <c r="DH22" s="13">
        <f t="shared" si="50"/>
        <v>0.84410993048518124</v>
      </c>
      <c r="DI22" s="13">
        <f t="shared" si="51"/>
        <v>3.6667179428114954E-2</v>
      </c>
      <c r="DJ22" s="13">
        <f t="shared" si="52"/>
        <v>0.80782007943694523</v>
      </c>
    </row>
    <row r="23" spans="6:114" x14ac:dyDescent="0.25">
      <c r="F23" s="12">
        <f t="shared" si="2"/>
        <v>1</v>
      </c>
      <c r="G23" s="12">
        <f t="shared" si="3"/>
        <v>0.20999999990652471</v>
      </c>
      <c r="H23" s="12">
        <f t="shared" si="4"/>
        <v>0.79000000009347526</v>
      </c>
      <c r="I23" s="14">
        <v>0</v>
      </c>
      <c r="J23" s="14">
        <f>J9/($J$9+$K$9+$L$9+$M$9+$N$9+$O$9+$P$9)</f>
        <v>0</v>
      </c>
      <c r="K23" s="14">
        <f t="shared" ref="K23:P23" si="56">K9/($J$9+$K$9+$L$9+$M$9+$N$9+$O$9+$P$9)</f>
        <v>4.5000001719320934E-2</v>
      </c>
      <c r="L23" s="14">
        <f t="shared" si="56"/>
        <v>0</v>
      </c>
      <c r="M23" s="14">
        <f t="shared" si="56"/>
        <v>0.5075451309819069</v>
      </c>
      <c r="N23" s="14">
        <f t="shared" si="56"/>
        <v>0.36680860136549109</v>
      </c>
      <c r="O23" s="14">
        <f t="shared" si="56"/>
        <v>2.8198172814424022E-2</v>
      </c>
      <c r="P23" s="14">
        <f t="shared" si="56"/>
        <v>5.2448093118857043E-2</v>
      </c>
      <c r="Q23" s="15"/>
      <c r="R23">
        <f>'ASPEN Ex steam'!Y12</f>
        <v>-281599973</v>
      </c>
      <c r="S23">
        <f>'ASPEN Ex steam'!O12</f>
        <v>-12532.7912</v>
      </c>
      <c r="T23">
        <f>'ASPEN Ex steam'!P12</f>
        <v>0</v>
      </c>
      <c r="U23">
        <f>'ASPEN Ex steam'!Q12</f>
        <v>-32881067</v>
      </c>
      <c r="W23">
        <f>'ASPEN Ex steam'!AA12</f>
        <v>-287753612</v>
      </c>
      <c r="X23">
        <f t="shared" si="7"/>
        <v>-12532.7912</v>
      </c>
      <c r="Y23" s="5">
        <f>'ASPEN Ex steam'!R12</f>
        <v>0</v>
      </c>
      <c r="Z23">
        <f>'ASPEN Ex steam'!S12</f>
        <v>-55555504.5</v>
      </c>
      <c r="AB23">
        <v>298</v>
      </c>
      <c r="AD23">
        <f>'ASPEN Ex steam'!Z12</f>
        <v>-149605.666</v>
      </c>
      <c r="AE23">
        <f>'ASPEN Ex steam'!T12</f>
        <v>4233.3923999999997</v>
      </c>
      <c r="AF23">
        <f>'ASPEN Ex steam'!U12</f>
        <v>0</v>
      </c>
      <c r="AG23">
        <f>'ASPEN Ex steam'!V12</f>
        <v>76103.025399999999</v>
      </c>
      <c r="AI23">
        <v>-168014.842</v>
      </c>
      <c r="AJ23">
        <f t="shared" si="8"/>
        <v>4233.3923999999997</v>
      </c>
      <c r="AK23">
        <f>'ASPEN Ex steam'!W12</f>
        <v>0</v>
      </c>
      <c r="AL23">
        <f>'ASPEN Ex steam'!X12</f>
        <v>37780.836499999998</v>
      </c>
      <c r="AP23">
        <f t="shared" si="9"/>
        <v>667704.55199999828</v>
      </c>
      <c r="AQ23">
        <f t="shared" si="10"/>
        <v>0</v>
      </c>
      <c r="AR23">
        <f t="shared" si="11"/>
        <v>0</v>
      </c>
      <c r="AS23">
        <f t="shared" si="12"/>
        <v>11254425.207799999</v>
      </c>
      <c r="AU23">
        <f t="shared" si="13"/>
        <v>0.66770455199999823</v>
      </c>
      <c r="AV23">
        <f t="shared" si="14"/>
        <v>0</v>
      </c>
      <c r="AW23">
        <f t="shared" si="15"/>
        <v>0</v>
      </c>
      <c r="AX23">
        <f t="shared" si="16"/>
        <v>11.254425207799999</v>
      </c>
      <c r="BB23">
        <f t="shared" si="17"/>
        <v>11.39</v>
      </c>
      <c r="BC23">
        <f t="shared" si="18"/>
        <v>0.83369999962890318</v>
      </c>
      <c r="BD23">
        <f t="shared" si="19"/>
        <v>0.56880000006730214</v>
      </c>
      <c r="BE23">
        <f t="shared" si="20"/>
        <v>0</v>
      </c>
      <c r="BF23">
        <f t="shared" si="21"/>
        <v>0</v>
      </c>
      <c r="BG23">
        <f t="shared" si="22"/>
        <v>3.2400001237911071E-2</v>
      </c>
      <c r="BH23">
        <f t="shared" si="23"/>
        <v>0</v>
      </c>
      <c r="BI23">
        <f t="shared" si="24"/>
        <v>119.83140542482822</v>
      </c>
      <c r="BJ23">
        <f t="shared" si="25"/>
        <v>100.8760334615237</v>
      </c>
      <c r="BK23">
        <f t="shared" si="26"/>
        <v>0.55860580345373989</v>
      </c>
      <c r="BL23">
        <f t="shared" si="27"/>
        <v>43.61845664229746</v>
      </c>
      <c r="BN23">
        <f t="shared" si="28"/>
        <v>11.39</v>
      </c>
      <c r="BO23">
        <f t="shared" si="29"/>
        <v>1.4024999996962053</v>
      </c>
      <c r="BP23">
        <f t="shared" si="30"/>
        <v>0</v>
      </c>
      <c r="BQ23">
        <f t="shared" si="31"/>
        <v>264.916901333341</v>
      </c>
      <c r="BS23" s="15">
        <f t="shared" si="32"/>
        <v>0</v>
      </c>
      <c r="BT23" s="15">
        <f t="shared" si="1"/>
        <v>-0.32773602708317362</v>
      </c>
      <c r="BU23" s="15">
        <f t="shared" si="1"/>
        <v>-0.18622064341020414</v>
      </c>
      <c r="BV23" s="15"/>
      <c r="BW23" s="15"/>
      <c r="BX23" s="15">
        <f t="shared" si="1"/>
        <v>-0.13954917912698456</v>
      </c>
      <c r="BY23" s="15"/>
      <c r="BZ23" s="15">
        <f t="shared" si="1"/>
        <v>-0.34420170078020501</v>
      </c>
      <c r="CA23" s="15">
        <f t="shared" si="1"/>
        <v>-0.36787788113301206</v>
      </c>
      <c r="CB23" s="15">
        <f t="shared" si="1"/>
        <v>-0.10062512602579658</v>
      </c>
      <c r="CC23" s="15">
        <f t="shared" si="1"/>
        <v>-0.15461337538133282</v>
      </c>
      <c r="CE23" s="15">
        <f t="shared" si="33"/>
        <v>0</v>
      </c>
      <c r="CF23" s="15">
        <f t="shared" si="34"/>
        <v>-0.51395667049337779</v>
      </c>
      <c r="CG23" s="15">
        <f t="shared" si="35"/>
        <v>0</v>
      </c>
      <c r="CH23" s="15">
        <f t="shared" si="36"/>
        <v>-1.106867262447331</v>
      </c>
      <c r="CJ23">
        <f t="shared" si="37"/>
        <v>8.3143999999999996E-3</v>
      </c>
      <c r="CK23">
        <v>298.14999999999998</v>
      </c>
      <c r="CM23">
        <f t="shared" si="38"/>
        <v>11.39</v>
      </c>
      <c r="CN23">
        <f t="shared" si="39"/>
        <v>0.12843309383229107</v>
      </c>
      <c r="CO23">
        <f t="shared" si="40"/>
        <v>0</v>
      </c>
      <c r="CP23">
        <f t="shared" si="41"/>
        <v>262.17304561703213</v>
      </c>
      <c r="CT23">
        <f t="shared" si="42"/>
        <v>12.057704551999999</v>
      </c>
      <c r="CU23">
        <f t="shared" si="43"/>
        <v>0.12843309383229107</v>
      </c>
      <c r="CV23">
        <f t="shared" si="44"/>
        <v>0</v>
      </c>
      <c r="CW23">
        <f t="shared" si="45"/>
        <v>273.42747082483214</v>
      </c>
      <c r="CY23">
        <f t="shared" si="46"/>
        <v>381.50345694600594</v>
      </c>
      <c r="CZ23" s="5">
        <f t="shared" si="47"/>
        <v>1.2365812209118819E-4</v>
      </c>
      <c r="DA23" s="5">
        <f t="shared" si="48"/>
        <v>0</v>
      </c>
      <c r="DB23">
        <f t="shared" si="49"/>
        <v>54229.996317699311</v>
      </c>
      <c r="DD23">
        <f>'Ch-exr of biomass'!$E$34</f>
        <v>63893.670989028738</v>
      </c>
      <c r="DF23" s="30">
        <v>0.29482758620689653</v>
      </c>
      <c r="DH23" s="13">
        <f t="shared" si="50"/>
        <v>0.84371604870475991</v>
      </c>
      <c r="DI23" s="13">
        <f t="shared" si="51"/>
        <v>3.4923626500596688E-2</v>
      </c>
      <c r="DJ23" s="13">
        <f t="shared" si="52"/>
        <v>0.80925421839182832</v>
      </c>
    </row>
    <row r="24" spans="6:114" x14ac:dyDescent="0.25">
      <c r="F24" s="12">
        <f t="shared" si="2"/>
        <v>1</v>
      </c>
      <c r="G24" s="12">
        <f t="shared" si="3"/>
        <v>0.20999999990652471</v>
      </c>
      <c r="H24" s="12">
        <f t="shared" si="4"/>
        <v>0.79000000009347526</v>
      </c>
      <c r="I24" s="14">
        <v>0</v>
      </c>
      <c r="J24" s="14">
        <f>J10/($J$10+$K$10+$L$10+$M$10+$N$10+$O$10+$P$10)</f>
        <v>0</v>
      </c>
      <c r="K24" s="14">
        <f t="shared" ref="K24:P24" si="57">K10/($J$10+$K$10+$L$10+$M$10+$N$10+$O$10+$P$10)</f>
        <v>4.3381312602307119E-2</v>
      </c>
      <c r="L24" s="14">
        <f t="shared" si="57"/>
        <v>0</v>
      </c>
      <c r="M24" s="14">
        <f t="shared" si="57"/>
        <v>0.52525915996983263</v>
      </c>
      <c r="N24" s="14">
        <f t="shared" si="57"/>
        <v>0.32806926156928662</v>
      </c>
      <c r="O24" s="14">
        <f t="shared" si="57"/>
        <v>5.5335263994353782E-2</v>
      </c>
      <c r="P24" s="14">
        <f t="shared" si="57"/>
        <v>4.7955001864219755E-2</v>
      </c>
      <c r="Q24" s="15"/>
      <c r="R24">
        <f>'ASPEN Ex steam'!Y13</f>
        <v>-281599973</v>
      </c>
      <c r="S24">
        <f>'ASPEN Ex steam'!O13</f>
        <v>-12532.7912</v>
      </c>
      <c r="T24">
        <f>'ASPEN Ex steam'!P13</f>
        <v>0</v>
      </c>
      <c r="U24">
        <f>'ASPEN Ex steam'!Q13</f>
        <v>-39530605.899999999</v>
      </c>
      <c r="W24">
        <f>'ASPEN Ex steam'!AA13</f>
        <v>-287753612</v>
      </c>
      <c r="X24">
        <f t="shared" si="7"/>
        <v>-12532.7912</v>
      </c>
      <c r="Y24" s="5">
        <f>'ASPEN Ex steam'!R13</f>
        <v>0</v>
      </c>
      <c r="Z24">
        <f>'ASPEN Ex steam'!S13</f>
        <v>-61617816.299999997</v>
      </c>
      <c r="AB24">
        <v>298</v>
      </c>
      <c r="AD24">
        <f>'ASPEN Ex steam'!Z13</f>
        <v>-149605.666</v>
      </c>
      <c r="AE24">
        <f>'ASPEN Ex steam'!T13</f>
        <v>4233.3923999999997</v>
      </c>
      <c r="AF24">
        <f>'ASPEN Ex steam'!U13</f>
        <v>0</v>
      </c>
      <c r="AG24">
        <f>'ASPEN Ex steam'!V13</f>
        <v>72965.161300000007</v>
      </c>
      <c r="AI24">
        <v>-168014.842</v>
      </c>
      <c r="AJ24">
        <f t="shared" si="8"/>
        <v>4233.3923999999997</v>
      </c>
      <c r="AK24">
        <f>'ASPEN Ex steam'!W13</f>
        <v>0</v>
      </c>
      <c r="AL24">
        <f>'ASPEN Ex steam'!X13</f>
        <v>35085.356699999997</v>
      </c>
      <c r="AP24">
        <f t="shared" si="9"/>
        <v>667704.55199999828</v>
      </c>
      <c r="AQ24">
        <f t="shared" si="10"/>
        <v>0</v>
      </c>
      <c r="AR24">
        <f t="shared" si="11"/>
        <v>0</v>
      </c>
      <c r="AS24">
        <f t="shared" si="12"/>
        <v>10799028.629199995</v>
      </c>
      <c r="AU24">
        <f t="shared" si="13"/>
        <v>0.66770455199999823</v>
      </c>
      <c r="AV24">
        <f t="shared" si="14"/>
        <v>0</v>
      </c>
      <c r="AW24">
        <f t="shared" si="15"/>
        <v>0</v>
      </c>
      <c r="AX24">
        <f t="shared" si="16"/>
        <v>10.799028629199995</v>
      </c>
      <c r="BB24">
        <f t="shared" si="17"/>
        <v>11.39</v>
      </c>
      <c r="BC24">
        <f t="shared" si="18"/>
        <v>0.83369999962890318</v>
      </c>
      <c r="BD24">
        <f t="shared" si="19"/>
        <v>0.56880000006730214</v>
      </c>
      <c r="BE24">
        <f t="shared" si="20"/>
        <v>0</v>
      </c>
      <c r="BF24">
        <f t="shared" si="21"/>
        <v>0</v>
      </c>
      <c r="BG24">
        <f t="shared" si="22"/>
        <v>3.1234545073661125E-2</v>
      </c>
      <c r="BH24">
        <f t="shared" si="23"/>
        <v>0</v>
      </c>
      <c r="BI24">
        <f t="shared" si="24"/>
        <v>124.01368766887748</v>
      </c>
      <c r="BJ24">
        <f t="shared" si="25"/>
        <v>90.222327624169509</v>
      </c>
      <c r="BK24">
        <f t="shared" si="26"/>
        <v>1.0961915797281483</v>
      </c>
      <c r="BL24">
        <f t="shared" si="27"/>
        <v>39.88177730037836</v>
      </c>
      <c r="BN24">
        <f t="shared" si="28"/>
        <v>11.39</v>
      </c>
      <c r="BO24">
        <f t="shared" si="29"/>
        <v>1.4024999996962053</v>
      </c>
      <c r="BP24">
        <f t="shared" si="30"/>
        <v>0</v>
      </c>
      <c r="BQ24">
        <f t="shared" si="31"/>
        <v>255.24521871822716</v>
      </c>
      <c r="BS24" s="15">
        <f t="shared" si="32"/>
        <v>0</v>
      </c>
      <c r="BT24" s="15">
        <f t="shared" si="1"/>
        <v>-0.32773602708317362</v>
      </c>
      <c r="BU24" s="15">
        <f t="shared" si="1"/>
        <v>-0.18622064341020414</v>
      </c>
      <c r="BV24" s="15"/>
      <c r="BW24" s="15"/>
      <c r="BX24" s="15">
        <f t="shared" si="1"/>
        <v>-0.13611869484266301</v>
      </c>
      <c r="BY24" s="15"/>
      <c r="BZ24" s="15">
        <f t="shared" si="1"/>
        <v>-0.33819520122502927</v>
      </c>
      <c r="CA24" s="15">
        <f t="shared" si="1"/>
        <v>-0.36564320783207316</v>
      </c>
      <c r="CB24" s="15">
        <f t="shared" si="1"/>
        <v>-0.16015933849243469</v>
      </c>
      <c r="CC24" s="15">
        <f t="shared" si="1"/>
        <v>-0.14566294262348878</v>
      </c>
      <c r="CE24" s="15">
        <f t="shared" si="33"/>
        <v>0</v>
      </c>
      <c r="CF24" s="15">
        <f t="shared" si="34"/>
        <v>-0.51395667049337779</v>
      </c>
      <c r="CG24" s="15">
        <f t="shared" si="35"/>
        <v>0</v>
      </c>
      <c r="CH24" s="15">
        <f t="shared" si="36"/>
        <v>-1.1457793850156888</v>
      </c>
      <c r="CJ24">
        <f t="shared" si="37"/>
        <v>8.3143999999999996E-3</v>
      </c>
      <c r="CK24">
        <v>298.14999999999998</v>
      </c>
      <c r="CM24">
        <f t="shared" si="38"/>
        <v>11.39</v>
      </c>
      <c r="CN24">
        <f t="shared" si="39"/>
        <v>0.12843309383229107</v>
      </c>
      <c r="CO24">
        <f t="shared" si="40"/>
        <v>0</v>
      </c>
      <c r="CP24">
        <f t="shared" si="41"/>
        <v>252.40490224861458</v>
      </c>
      <c r="CT24">
        <f t="shared" si="42"/>
        <v>12.057704551999999</v>
      </c>
      <c r="CU24">
        <f t="shared" si="43"/>
        <v>0.12843309383229107</v>
      </c>
      <c r="CV24">
        <f t="shared" si="44"/>
        <v>0</v>
      </c>
      <c r="CW24">
        <f t="shared" si="45"/>
        <v>263.20393087781457</v>
      </c>
      <c r="CY24">
        <f t="shared" si="46"/>
        <v>457.80414833520717</v>
      </c>
      <c r="CZ24" s="5">
        <f t="shared" si="47"/>
        <v>1.2365812209118819E-4</v>
      </c>
      <c r="DA24" s="5">
        <f t="shared" si="48"/>
        <v>0</v>
      </c>
      <c r="DB24">
        <f t="shared" si="49"/>
        <v>54150.147333525798</v>
      </c>
      <c r="DD24">
        <f>'Ch-exr of biomass'!$E$34</f>
        <v>63893.670989028738</v>
      </c>
      <c r="DF24" s="30">
        <v>0.35379310344827591</v>
      </c>
      <c r="DH24" s="13">
        <f t="shared" si="50"/>
        <v>0.84147483975903115</v>
      </c>
      <c r="DI24" s="13">
        <f t="shared" si="51"/>
        <v>3.4758565212661664E-2</v>
      </c>
      <c r="DJ24" s="13">
        <f t="shared" si="52"/>
        <v>0.80726788114584558</v>
      </c>
    </row>
    <row r="25" spans="6:114" x14ac:dyDescent="0.25">
      <c r="F25" s="12">
        <f t="shared" si="2"/>
        <v>1</v>
      </c>
      <c r="G25" s="12">
        <f t="shared" si="3"/>
        <v>0.20999999990652471</v>
      </c>
      <c r="H25" s="12">
        <f t="shared" si="4"/>
        <v>0.79000000009347526</v>
      </c>
      <c r="I25" s="14">
        <v>0</v>
      </c>
      <c r="J25" s="14">
        <f>J11/($J$11+$K$11+$L$11+$M$11+$N$11+$O$11+$P$11)</f>
        <v>0</v>
      </c>
      <c r="K25" s="14">
        <f t="shared" ref="K25:P25" si="58">K11/($J$11+$K$11+$L$11+$M$11+$N$11+$O$11+$P$11)</f>
        <v>4.2012424704368216E-2</v>
      </c>
      <c r="L25" s="14">
        <f t="shared" si="58"/>
        <v>0</v>
      </c>
      <c r="M25" s="14">
        <f t="shared" si="58"/>
        <v>0.54023950365268991</v>
      </c>
      <c r="N25" s="14">
        <f t="shared" si="58"/>
        <v>0.28969722297471234</v>
      </c>
      <c r="O25" s="14">
        <f t="shared" si="58"/>
        <v>8.2492780694984155E-2</v>
      </c>
      <c r="P25" s="14">
        <f t="shared" si="58"/>
        <v>4.5558067973245409E-2</v>
      </c>
      <c r="Q25" s="15"/>
      <c r="R25">
        <f>'ASPEN Ex steam'!Y14</f>
        <v>-281599973</v>
      </c>
      <c r="S25">
        <f>'ASPEN Ex steam'!O14</f>
        <v>-12532.7912</v>
      </c>
      <c r="T25">
        <f>'ASPEN Ex steam'!P14</f>
        <v>0</v>
      </c>
      <c r="U25">
        <f>'ASPEN Ex steam'!Q14</f>
        <v>-46118694.399999999</v>
      </c>
      <c r="W25">
        <f>'ASPEN Ex steam'!AA14</f>
        <v>-287753612</v>
      </c>
      <c r="X25">
        <f t="shared" si="7"/>
        <v>-12532.7912</v>
      </c>
      <c r="Y25" s="5">
        <f>'ASPEN Ex steam'!R14</f>
        <v>0</v>
      </c>
      <c r="Z25">
        <f>'ASPEN Ex steam'!S14</f>
        <v>-67885017.200000003</v>
      </c>
      <c r="AB25">
        <v>298</v>
      </c>
      <c r="AD25">
        <f>'ASPEN Ex steam'!Z14</f>
        <v>-149605.666</v>
      </c>
      <c r="AE25">
        <f>'ASPEN Ex steam'!T14</f>
        <v>4233.3923999999997</v>
      </c>
      <c r="AF25">
        <f>'ASPEN Ex steam'!U14</f>
        <v>0</v>
      </c>
      <c r="AG25">
        <f>'ASPEN Ex steam'!V14</f>
        <v>69852.695699999997</v>
      </c>
      <c r="AI25">
        <v>-168014.842</v>
      </c>
      <c r="AJ25">
        <f t="shared" si="8"/>
        <v>4233.3923999999997</v>
      </c>
      <c r="AK25">
        <f>'ASPEN Ex steam'!W14</f>
        <v>0</v>
      </c>
      <c r="AL25">
        <f>'ASPEN Ex steam'!X14</f>
        <v>32142.099399999999</v>
      </c>
      <c r="AP25">
        <f t="shared" si="9"/>
        <v>667704.55199999828</v>
      </c>
      <c r="AQ25">
        <f t="shared" si="10"/>
        <v>0</v>
      </c>
      <c r="AR25">
        <f t="shared" si="11"/>
        <v>0</v>
      </c>
      <c r="AS25">
        <f t="shared" si="12"/>
        <v>10528565.102600005</v>
      </c>
      <c r="AU25">
        <f t="shared" si="13"/>
        <v>0.66770455199999823</v>
      </c>
      <c r="AV25">
        <f t="shared" si="14"/>
        <v>0</v>
      </c>
      <c r="AW25">
        <f t="shared" si="15"/>
        <v>0</v>
      </c>
      <c r="AX25">
        <f t="shared" si="16"/>
        <v>10.528565102600005</v>
      </c>
      <c r="BB25">
        <f t="shared" si="17"/>
        <v>11.39</v>
      </c>
      <c r="BC25">
        <f t="shared" si="18"/>
        <v>0.83369999962890318</v>
      </c>
      <c r="BD25">
        <f t="shared" si="19"/>
        <v>0.56880000006730214</v>
      </c>
      <c r="BE25">
        <f t="shared" si="20"/>
        <v>0</v>
      </c>
      <c r="BF25">
        <f t="shared" si="21"/>
        <v>0</v>
      </c>
      <c r="BG25">
        <f t="shared" si="22"/>
        <v>3.0248945787145116E-2</v>
      </c>
      <c r="BH25">
        <f t="shared" si="23"/>
        <v>0</v>
      </c>
      <c r="BI25">
        <f t="shared" si="24"/>
        <v>127.55054681240009</v>
      </c>
      <c r="BJ25">
        <f t="shared" si="25"/>
        <v>79.669633290275641</v>
      </c>
      <c r="BK25">
        <f t="shared" si="26"/>
        <v>1.6341819855676361</v>
      </c>
      <c r="BL25">
        <f t="shared" si="27"/>
        <v>37.888367229949544</v>
      </c>
      <c r="BN25">
        <f t="shared" si="28"/>
        <v>11.39</v>
      </c>
      <c r="BO25">
        <f t="shared" si="29"/>
        <v>1.4024999996962053</v>
      </c>
      <c r="BP25">
        <f t="shared" si="30"/>
        <v>0</v>
      </c>
      <c r="BQ25">
        <f t="shared" si="31"/>
        <v>246.77297826398006</v>
      </c>
      <c r="BS25" s="15">
        <f t="shared" si="32"/>
        <v>0</v>
      </c>
      <c r="BT25" s="15">
        <f t="shared" si="1"/>
        <v>-0.32773602708317362</v>
      </c>
      <c r="BU25" s="15">
        <f t="shared" si="1"/>
        <v>-0.18622064341020414</v>
      </c>
      <c r="BV25" s="15"/>
      <c r="BW25" s="15"/>
      <c r="BX25" s="15">
        <f t="shared" si="1"/>
        <v>-0.13317055858454024</v>
      </c>
      <c r="BY25" s="15"/>
      <c r="BZ25" s="15">
        <f t="shared" si="1"/>
        <v>-0.33264853736218808</v>
      </c>
      <c r="CA25" s="15">
        <f t="shared" si="1"/>
        <v>-0.35891138223703556</v>
      </c>
      <c r="CB25" s="15">
        <f t="shared" si="1"/>
        <v>-0.20582315844908089</v>
      </c>
      <c r="CC25" s="15">
        <f t="shared" si="1"/>
        <v>-0.14071828188294799</v>
      </c>
      <c r="CE25" s="15">
        <f t="shared" si="33"/>
        <v>0</v>
      </c>
      <c r="CF25" s="15">
        <f t="shared" si="34"/>
        <v>-0.51395667049337779</v>
      </c>
      <c r="CG25" s="15">
        <f t="shared" si="35"/>
        <v>0</v>
      </c>
      <c r="CH25" s="15">
        <f t="shared" si="36"/>
        <v>-1.1712719185157927</v>
      </c>
      <c r="CJ25">
        <f t="shared" si="37"/>
        <v>8.3143999999999996E-3</v>
      </c>
      <c r="CK25">
        <v>298.14999999999998</v>
      </c>
      <c r="CM25">
        <f t="shared" si="38"/>
        <v>11.39</v>
      </c>
      <c r="CN25">
        <f t="shared" si="39"/>
        <v>0.12843309383229107</v>
      </c>
      <c r="CO25">
        <f t="shared" si="40"/>
        <v>0</v>
      </c>
      <c r="CP25">
        <f t="shared" si="41"/>
        <v>243.86946737518048</v>
      </c>
      <c r="CT25">
        <f t="shared" si="42"/>
        <v>12.057704551999999</v>
      </c>
      <c r="CU25">
        <f t="shared" si="43"/>
        <v>0.12843309383229107</v>
      </c>
      <c r="CV25">
        <f t="shared" si="44"/>
        <v>0</v>
      </c>
      <c r="CW25">
        <f t="shared" si="45"/>
        <v>254.39803247778048</v>
      </c>
      <c r="CY25">
        <f t="shared" si="46"/>
        <v>534.10483972440841</v>
      </c>
      <c r="CZ25" s="5">
        <f t="shared" si="47"/>
        <v>1.2365812209118819E-4</v>
      </c>
      <c r="DA25" s="5">
        <f t="shared" si="48"/>
        <v>0</v>
      </c>
      <c r="DB25">
        <f t="shared" si="49"/>
        <v>54043.810317426265</v>
      </c>
      <c r="DD25">
        <f>'Ch-exr of biomass'!$E$34</f>
        <v>63893.670989028738</v>
      </c>
      <c r="DF25" s="30">
        <v>0.41275862068965519</v>
      </c>
      <c r="DH25" s="13">
        <f t="shared" si="50"/>
        <v>0.83882781173984677</v>
      </c>
      <c r="DI25" s="13">
        <f t="shared" si="51"/>
        <v>3.4989889402521172E-2</v>
      </c>
      <c r="DJ25" s="13">
        <f t="shared" si="52"/>
        <v>0.80448123345565736</v>
      </c>
    </row>
    <row r="26" spans="6:114" x14ac:dyDescent="0.25">
      <c r="F26" s="12">
        <f t="shared" si="2"/>
        <v>1</v>
      </c>
      <c r="G26" s="12">
        <f t="shared" si="3"/>
        <v>0.20999999990652471</v>
      </c>
      <c r="H26" s="12">
        <f t="shared" si="4"/>
        <v>0.79000000009347526</v>
      </c>
      <c r="I26" s="14">
        <v>0</v>
      </c>
      <c r="J26" s="14">
        <f>J12/($J$12+$K$12+$L$12+$M$12+$N$12+$O$12+$P$12)</f>
        <v>0</v>
      </c>
      <c r="K26" s="14">
        <f t="shared" ref="K26:P26" si="59">K12/($J$12+$K$12+$L$12+$M$12+$N$12+$O$12+$P$12)</f>
        <v>4.0774533278822814E-2</v>
      </c>
      <c r="L26" s="14">
        <f t="shared" si="59"/>
        <v>0</v>
      </c>
      <c r="M26" s="14">
        <f t="shared" si="59"/>
        <v>0.55378629618345643</v>
      </c>
      <c r="N26" s="14">
        <f t="shared" si="59"/>
        <v>0.25280690883226692</v>
      </c>
      <c r="O26" s="14">
        <f t="shared" si="59"/>
        <v>0.10869417477709777</v>
      </c>
      <c r="P26" s="14">
        <f t="shared" si="59"/>
        <v>4.3938086928355997E-2</v>
      </c>
      <c r="Q26" s="15"/>
      <c r="R26">
        <f>'ASPEN Ex steam'!Y15</f>
        <v>-281599973</v>
      </c>
      <c r="S26">
        <f>'ASPEN Ex steam'!O15</f>
        <v>-12532.7912</v>
      </c>
      <c r="T26">
        <f>'ASPEN Ex steam'!P15</f>
        <v>0</v>
      </c>
      <c r="U26">
        <f>'ASPEN Ex steam'!Q15</f>
        <v>-52462731.600000001</v>
      </c>
      <c r="W26">
        <f>'ASPEN Ex steam'!AA15</f>
        <v>-287753612</v>
      </c>
      <c r="X26">
        <f t="shared" si="7"/>
        <v>-12532.7912</v>
      </c>
      <c r="Y26" s="5">
        <f>'ASPEN Ex steam'!R15</f>
        <v>0</v>
      </c>
      <c r="Z26">
        <f>'ASPEN Ex steam'!S15</f>
        <v>-73997657.799999997</v>
      </c>
      <c r="AB26">
        <v>298</v>
      </c>
      <c r="AD26">
        <f>'ASPEN Ex steam'!Z15</f>
        <v>-149605.666</v>
      </c>
      <c r="AE26">
        <f>'ASPEN Ex steam'!T15</f>
        <v>4233.3923999999997</v>
      </c>
      <c r="AF26">
        <f>'ASPEN Ex steam'!U15</f>
        <v>0</v>
      </c>
      <c r="AG26">
        <f>'ASPEN Ex steam'!V15</f>
        <v>66784.050600000002</v>
      </c>
      <c r="AI26">
        <v>-168014.842</v>
      </c>
      <c r="AJ26">
        <f t="shared" si="8"/>
        <v>4233.3923999999997</v>
      </c>
      <c r="AK26">
        <f>'ASPEN Ex steam'!W15</f>
        <v>0</v>
      </c>
      <c r="AL26">
        <f>'ASPEN Ex steam'!X15</f>
        <v>29158.8125</v>
      </c>
      <c r="AP26">
        <f t="shared" si="9"/>
        <v>667704.55199999828</v>
      </c>
      <c r="AQ26">
        <f t="shared" si="10"/>
        <v>0</v>
      </c>
      <c r="AR26">
        <f t="shared" si="11"/>
        <v>0</v>
      </c>
      <c r="AS26">
        <f t="shared" si="12"/>
        <v>10322605.246199995</v>
      </c>
      <c r="AU26">
        <f t="shared" si="13"/>
        <v>0.66770455199999823</v>
      </c>
      <c r="AV26">
        <f t="shared" si="14"/>
        <v>0</v>
      </c>
      <c r="AW26">
        <f t="shared" si="15"/>
        <v>0</v>
      </c>
      <c r="AX26">
        <f t="shared" si="16"/>
        <v>10.322605246199995</v>
      </c>
      <c r="BB26">
        <f t="shared" si="17"/>
        <v>11.39</v>
      </c>
      <c r="BC26">
        <f t="shared" si="18"/>
        <v>0.83369999962890318</v>
      </c>
      <c r="BD26">
        <f t="shared" si="19"/>
        <v>0.56880000006730214</v>
      </c>
      <c r="BE26">
        <f t="shared" si="20"/>
        <v>0</v>
      </c>
      <c r="BF26">
        <f t="shared" si="21"/>
        <v>0</v>
      </c>
      <c r="BG26">
        <f t="shared" si="22"/>
        <v>2.9357663960752425E-2</v>
      </c>
      <c r="BH26">
        <f t="shared" si="23"/>
        <v>0</v>
      </c>
      <c r="BI26">
        <f t="shared" si="24"/>
        <v>130.74894452891405</v>
      </c>
      <c r="BJ26">
        <f t="shared" si="25"/>
        <v>69.524427997961723</v>
      </c>
      <c r="BK26">
        <f t="shared" si="26"/>
        <v>2.1532316023343068</v>
      </c>
      <c r="BL26">
        <f t="shared" si="27"/>
        <v>36.541109993967261</v>
      </c>
      <c r="BN26">
        <f t="shared" si="28"/>
        <v>11.39</v>
      </c>
      <c r="BO26">
        <f t="shared" si="29"/>
        <v>1.4024999996962053</v>
      </c>
      <c r="BP26">
        <f t="shared" si="30"/>
        <v>0</v>
      </c>
      <c r="BQ26">
        <f t="shared" si="31"/>
        <v>238.99707178713811</v>
      </c>
      <c r="BS26" s="15">
        <f t="shared" si="32"/>
        <v>0</v>
      </c>
      <c r="BT26" s="15">
        <f t="shared" si="1"/>
        <v>-0.32773602708317362</v>
      </c>
      <c r="BU26" s="15">
        <f t="shared" si="1"/>
        <v>-0.18622064341020414</v>
      </c>
      <c r="BV26" s="15"/>
      <c r="BW26" s="15"/>
      <c r="BX26" s="15">
        <f t="shared" si="1"/>
        <v>-0.13046617532734917</v>
      </c>
      <c r="BY26" s="15"/>
      <c r="BZ26" s="15">
        <f t="shared" si="1"/>
        <v>-0.32727463922797712</v>
      </c>
      <c r="CA26" s="15">
        <f t="shared" si="1"/>
        <v>-0.34764218450387807</v>
      </c>
      <c r="CB26" s="15">
        <f t="shared" si="1"/>
        <v>-0.24121596874859269</v>
      </c>
      <c r="CC26" s="15">
        <f t="shared" si="1"/>
        <v>-0.13730536833102744</v>
      </c>
      <c r="CE26" s="15">
        <f t="shared" si="33"/>
        <v>0</v>
      </c>
      <c r="CF26" s="15">
        <f t="shared" si="34"/>
        <v>-0.51395667049337779</v>
      </c>
      <c r="CG26" s="15">
        <f t="shared" si="35"/>
        <v>0</v>
      </c>
      <c r="CH26" s="15">
        <f t="shared" si="36"/>
        <v>-1.1839043361388244</v>
      </c>
      <c r="CJ26">
        <f t="shared" si="37"/>
        <v>8.3143999999999996E-3</v>
      </c>
      <c r="CK26">
        <v>298.14999999999998</v>
      </c>
      <c r="CM26">
        <f t="shared" si="38"/>
        <v>11.39</v>
      </c>
      <c r="CN26">
        <f t="shared" si="39"/>
        <v>0.12843309383229107</v>
      </c>
      <c r="CO26">
        <f t="shared" si="40"/>
        <v>0</v>
      </c>
      <c r="CP26">
        <f t="shared" si="41"/>
        <v>236.06224591371324</v>
      </c>
      <c r="CT26">
        <f t="shared" si="42"/>
        <v>12.057704551999999</v>
      </c>
      <c r="CU26">
        <f t="shared" si="43"/>
        <v>0.12843309383229107</v>
      </c>
      <c r="CV26">
        <f t="shared" si="44"/>
        <v>0</v>
      </c>
      <c r="CW26">
        <f t="shared" si="45"/>
        <v>246.38485115991324</v>
      </c>
      <c r="CY26">
        <f t="shared" si="46"/>
        <v>610.40553111360964</v>
      </c>
      <c r="CZ26" s="5">
        <f t="shared" si="47"/>
        <v>1.2365812209118819E-4</v>
      </c>
      <c r="DA26" s="5">
        <f t="shared" si="48"/>
        <v>0</v>
      </c>
      <c r="DB26">
        <f t="shared" si="49"/>
        <v>53930.564150150945</v>
      </c>
      <c r="DD26">
        <f>'Ch-exr of biomass'!$E$34</f>
        <v>63893.670989028738</v>
      </c>
      <c r="DF26" s="30">
        <v>0.47172413793103446</v>
      </c>
      <c r="DH26" s="13">
        <f t="shared" si="50"/>
        <v>0.83607993410962567</v>
      </c>
      <c r="DI26" s="13">
        <f t="shared" si="51"/>
        <v>3.5344573523649683E-2</v>
      </c>
      <c r="DJ26" s="13">
        <f t="shared" si="52"/>
        <v>0.80147129686765151</v>
      </c>
    </row>
    <row r="27" spans="6:114" x14ac:dyDescent="0.25">
      <c r="F27" s="12">
        <f t="shared" si="2"/>
        <v>1</v>
      </c>
      <c r="G27" s="12">
        <f t="shared" si="3"/>
        <v>0.20999999990652471</v>
      </c>
      <c r="H27" s="12">
        <f t="shared" si="4"/>
        <v>0.79000000009347526</v>
      </c>
      <c r="I27" s="14">
        <v>0</v>
      </c>
      <c r="J27" s="14">
        <f>J13/($J$13+$K$13+$L$13+$M$13+$N$13+$O$13+$P$13)</f>
        <v>0</v>
      </c>
      <c r="K27" s="14">
        <f t="shared" ref="K27:P27" si="60">K13/($J$13+$K$13+$L$13+$M$13+$N$13+$O$13+$P$13)</f>
        <v>3.9623761470440978E-2</v>
      </c>
      <c r="L27" s="14">
        <f t="shared" si="60"/>
        <v>0</v>
      </c>
      <c r="M27" s="14">
        <f t="shared" si="60"/>
        <v>0.56637969912497765</v>
      </c>
      <c r="N27" s="14">
        <f t="shared" si="60"/>
        <v>0.21770731738331606</v>
      </c>
      <c r="O27" s="14">
        <f t="shared" si="60"/>
        <v>0.13365572632967426</v>
      </c>
      <c r="P27" s="14">
        <f t="shared" si="60"/>
        <v>4.2633495691591111E-2</v>
      </c>
      <c r="Q27" s="15"/>
      <c r="R27">
        <f>'ASPEN Ex steam'!Y16</f>
        <v>-281599973</v>
      </c>
      <c r="S27">
        <f>'ASPEN Ex steam'!O16</f>
        <v>-12532.7912</v>
      </c>
      <c r="T27">
        <f>'ASPEN Ex steam'!P16</f>
        <v>0</v>
      </c>
      <c r="U27">
        <f>'ASPEN Ex steam'!Q16</f>
        <v>-58512852.799999997</v>
      </c>
      <c r="W27">
        <f>'ASPEN Ex steam'!AA16</f>
        <v>-287753612</v>
      </c>
      <c r="X27">
        <f t="shared" si="7"/>
        <v>-12532.7912</v>
      </c>
      <c r="Y27" s="5">
        <f>'ASPEN Ex steam'!R16</f>
        <v>0</v>
      </c>
      <c r="Z27">
        <f>'ASPEN Ex steam'!S16</f>
        <v>-79843835.099999994</v>
      </c>
      <c r="AB27">
        <v>298</v>
      </c>
      <c r="AD27">
        <f>'ASPEN Ex steam'!Z16</f>
        <v>-149605.666</v>
      </c>
      <c r="AE27">
        <f>'ASPEN Ex steam'!T16</f>
        <v>4233.3923999999997</v>
      </c>
      <c r="AF27">
        <f>'ASPEN Ex steam'!U16</f>
        <v>0</v>
      </c>
      <c r="AG27">
        <f>'ASPEN Ex steam'!V16</f>
        <v>63769.729399999997</v>
      </c>
      <c r="AI27">
        <v>-168014.842</v>
      </c>
      <c r="AJ27">
        <f t="shared" si="8"/>
        <v>4233.3923999999997</v>
      </c>
      <c r="AK27">
        <f>'ASPEN Ex steam'!W16</f>
        <v>0</v>
      </c>
      <c r="AL27">
        <f>'ASPEN Ex steam'!X16</f>
        <v>26213.0906</v>
      </c>
      <c r="AP27">
        <f t="shared" si="9"/>
        <v>667704.55199999828</v>
      </c>
      <c r="AQ27">
        <f t="shared" si="10"/>
        <v>0</v>
      </c>
      <c r="AR27">
        <f t="shared" si="11"/>
        <v>0</v>
      </c>
      <c r="AS27">
        <f t="shared" si="12"/>
        <v>10139103.937599996</v>
      </c>
      <c r="AU27">
        <f t="shared" si="13"/>
        <v>0.66770455199999823</v>
      </c>
      <c r="AV27">
        <f t="shared" si="14"/>
        <v>0</v>
      </c>
      <c r="AW27">
        <f t="shared" si="15"/>
        <v>0</v>
      </c>
      <c r="AX27">
        <f t="shared" si="16"/>
        <v>10.139103937599996</v>
      </c>
      <c r="BB27">
        <f t="shared" si="17"/>
        <v>11.39</v>
      </c>
      <c r="BC27">
        <f t="shared" si="18"/>
        <v>0.83369999962890318</v>
      </c>
      <c r="BD27">
        <f t="shared" si="19"/>
        <v>0.56880000006730214</v>
      </c>
      <c r="BE27">
        <f t="shared" si="20"/>
        <v>0</v>
      </c>
      <c r="BF27">
        <f t="shared" si="21"/>
        <v>0</v>
      </c>
      <c r="BG27">
        <f t="shared" si="22"/>
        <v>2.8529108258717503E-2</v>
      </c>
      <c r="BH27">
        <f t="shared" si="23"/>
        <v>0</v>
      </c>
      <c r="BI27">
        <f t="shared" si="24"/>
        <v>133.72224696340723</v>
      </c>
      <c r="BJ27">
        <f t="shared" si="25"/>
        <v>59.871689353585744</v>
      </c>
      <c r="BK27">
        <f t="shared" si="26"/>
        <v>2.6477199385908468</v>
      </c>
      <c r="BL27">
        <f t="shared" si="27"/>
        <v>35.456146691911748</v>
      </c>
      <c r="BN27">
        <f t="shared" si="28"/>
        <v>11.39</v>
      </c>
      <c r="BO27">
        <f t="shared" si="29"/>
        <v>1.4024999996962053</v>
      </c>
      <c r="BP27">
        <f t="shared" si="30"/>
        <v>0</v>
      </c>
      <c r="BQ27">
        <f t="shared" si="31"/>
        <v>231.72633205575428</v>
      </c>
      <c r="BS27" s="15">
        <f t="shared" si="32"/>
        <v>0</v>
      </c>
      <c r="BT27" s="15">
        <f t="shared" si="1"/>
        <v>-0.32773602708317362</v>
      </c>
      <c r="BU27" s="15">
        <f t="shared" si="1"/>
        <v>-0.18622064341020414</v>
      </c>
      <c r="BV27" s="15"/>
      <c r="BW27" s="15"/>
      <c r="BX27" s="15">
        <f t="shared" si="1"/>
        <v>-0.12791843140020567</v>
      </c>
      <c r="BY27" s="15"/>
      <c r="BZ27" s="15">
        <f t="shared" si="1"/>
        <v>-0.32198152319437096</v>
      </c>
      <c r="CA27" s="15">
        <f t="shared" si="1"/>
        <v>-0.33191738139778315</v>
      </c>
      <c r="CB27" s="15">
        <f t="shared" si="1"/>
        <v>-0.26898054424718898</v>
      </c>
      <c r="CC27" s="15">
        <f t="shared" si="1"/>
        <v>-0.1345135839258578</v>
      </c>
      <c r="CE27" s="15">
        <f t="shared" si="33"/>
        <v>0</v>
      </c>
      <c r="CF27" s="15">
        <f t="shared" si="34"/>
        <v>-0.51395667049337779</v>
      </c>
      <c r="CG27" s="15">
        <f t="shared" si="35"/>
        <v>0</v>
      </c>
      <c r="CH27" s="15">
        <f t="shared" si="36"/>
        <v>-1.1853114641654066</v>
      </c>
      <c r="CJ27">
        <f t="shared" si="37"/>
        <v>8.3143999999999996E-3</v>
      </c>
      <c r="CK27">
        <v>298.14999999999998</v>
      </c>
      <c r="CM27">
        <f t="shared" si="38"/>
        <v>11.39</v>
      </c>
      <c r="CN27">
        <f t="shared" si="39"/>
        <v>0.12843309383229107</v>
      </c>
      <c r="CO27">
        <f t="shared" si="40"/>
        <v>0</v>
      </c>
      <c r="CP27">
        <f t="shared" si="41"/>
        <v>228.78801799868688</v>
      </c>
      <c r="CT27">
        <f t="shared" si="42"/>
        <v>12.057704551999999</v>
      </c>
      <c r="CU27">
        <f t="shared" si="43"/>
        <v>0.12843309383229107</v>
      </c>
      <c r="CV27">
        <f t="shared" si="44"/>
        <v>0</v>
      </c>
      <c r="CW27">
        <f t="shared" si="45"/>
        <v>238.92712193628688</v>
      </c>
      <c r="CY27">
        <f t="shared" si="46"/>
        <v>686.70622250281076</v>
      </c>
      <c r="CZ27" s="5">
        <f t="shared" si="47"/>
        <v>1.2365812209118819E-4</v>
      </c>
      <c r="DA27" s="5">
        <f t="shared" si="48"/>
        <v>0</v>
      </c>
      <c r="DB27">
        <f t="shared" si="49"/>
        <v>53817.028073251131</v>
      </c>
      <c r="DD27">
        <f>'Ch-exr of biomass'!$E$34</f>
        <v>63893.670989028738</v>
      </c>
      <c r="DF27" s="30">
        <v>0.53068965517241384</v>
      </c>
      <c r="DH27" s="13">
        <f t="shared" si="50"/>
        <v>0.83333406049837955</v>
      </c>
      <c r="DI27" s="13">
        <f t="shared" si="51"/>
        <v>3.5722150524192926E-2</v>
      </c>
      <c r="DJ27" s="13">
        <f t="shared" si="52"/>
        <v>0.79844086827355021</v>
      </c>
    </row>
    <row r="28" spans="6:114" x14ac:dyDescent="0.25">
      <c r="F28" s="12">
        <f t="shared" si="2"/>
        <v>1</v>
      </c>
      <c r="G28" s="12">
        <f t="shared" si="3"/>
        <v>0.20999999990652471</v>
      </c>
      <c r="H28" s="12">
        <f t="shared" si="4"/>
        <v>0.79000000009347526</v>
      </c>
      <c r="I28" s="14">
        <v>0</v>
      </c>
      <c r="J28" s="14">
        <f>J14/($J$14+$K$14+$L$14+$M$14+$N$14+$O$14+$P$14)</f>
        <v>0</v>
      </c>
      <c r="K28" s="14">
        <f t="shared" ref="K28:P28" si="61">K14/($J$14+$K$14+$L$14+$M$14+$N$14+$O$14+$P$14)</f>
        <v>3.8537730089384582E-2</v>
      </c>
      <c r="L28" s="14">
        <f t="shared" si="61"/>
        <v>0</v>
      </c>
      <c r="M28" s="14">
        <f t="shared" si="61"/>
        <v>0.57826461999406409</v>
      </c>
      <c r="N28" s="14">
        <f t="shared" si="61"/>
        <v>0.1845013914105417</v>
      </c>
      <c r="O28" s="14">
        <f t="shared" si="61"/>
        <v>0.15727371475584845</v>
      </c>
      <c r="P28" s="14">
        <f t="shared" si="61"/>
        <v>4.142254375016121E-2</v>
      </c>
      <c r="Q28" s="15"/>
      <c r="R28">
        <f>'ASPEN Ex steam'!Y17</f>
        <v>-281599973</v>
      </c>
      <c r="S28">
        <f>'ASPEN Ex steam'!O17</f>
        <v>-12532.7912</v>
      </c>
      <c r="T28">
        <f>'ASPEN Ex steam'!P17</f>
        <v>0</v>
      </c>
      <c r="U28">
        <f>'ASPEN Ex steam'!Q17</f>
        <v>-64253380.100000001</v>
      </c>
      <c r="W28">
        <f>'ASPEN Ex steam'!AA17</f>
        <v>-287753612</v>
      </c>
      <c r="X28">
        <f t="shared" si="7"/>
        <v>-12532.7912</v>
      </c>
      <c r="Y28" s="5">
        <f>'ASPEN Ex steam'!R17</f>
        <v>0</v>
      </c>
      <c r="Z28">
        <f>'ASPEN Ex steam'!S17</f>
        <v>-85377581.700000003</v>
      </c>
      <c r="AB28">
        <v>298</v>
      </c>
      <c r="AD28">
        <f>'ASPEN Ex steam'!Z17</f>
        <v>-149605.666</v>
      </c>
      <c r="AE28">
        <f>'ASPEN Ex steam'!T17</f>
        <v>4233.3923999999997</v>
      </c>
      <c r="AF28">
        <f>'ASPEN Ex steam'!U17</f>
        <v>0</v>
      </c>
      <c r="AG28">
        <f>'ASPEN Ex steam'!V17</f>
        <v>60814.470300000001</v>
      </c>
      <c r="AI28">
        <v>-168014.842</v>
      </c>
      <c r="AJ28">
        <f t="shared" si="8"/>
        <v>4233.3923999999997</v>
      </c>
      <c r="AK28">
        <f>'ASPEN Ex steam'!W17</f>
        <v>0</v>
      </c>
      <c r="AL28">
        <f>'ASPEN Ex steam'!X17</f>
        <v>23342.947499999998</v>
      </c>
      <c r="AP28">
        <f t="shared" si="9"/>
        <v>667704.55199999828</v>
      </c>
      <c r="AQ28">
        <f t="shared" si="10"/>
        <v>0</v>
      </c>
      <c r="AR28">
        <f t="shared" si="11"/>
        <v>0</v>
      </c>
      <c r="AS28">
        <f t="shared" si="12"/>
        <v>9957687.8056000005</v>
      </c>
      <c r="AU28">
        <f t="shared" si="13"/>
        <v>0.66770455199999823</v>
      </c>
      <c r="AV28">
        <f t="shared" si="14"/>
        <v>0</v>
      </c>
      <c r="AW28">
        <f t="shared" si="15"/>
        <v>0</v>
      </c>
      <c r="AX28">
        <f t="shared" si="16"/>
        <v>9.9576878056000009</v>
      </c>
      <c r="BB28">
        <f t="shared" si="17"/>
        <v>11.39</v>
      </c>
      <c r="BC28">
        <f t="shared" si="18"/>
        <v>0.83369999962890318</v>
      </c>
      <c r="BD28">
        <f t="shared" si="19"/>
        <v>0.56880000006730214</v>
      </c>
      <c r="BE28">
        <f t="shared" si="20"/>
        <v>0</v>
      </c>
      <c r="BF28">
        <f t="shared" si="21"/>
        <v>0</v>
      </c>
      <c r="BG28">
        <f t="shared" si="22"/>
        <v>2.7747165664356897E-2</v>
      </c>
      <c r="BH28">
        <f t="shared" si="23"/>
        <v>0</v>
      </c>
      <c r="BI28">
        <f t="shared" si="24"/>
        <v>136.52827678059853</v>
      </c>
      <c r="BJ28">
        <f t="shared" si="25"/>
        <v>50.73972765181307</v>
      </c>
      <c r="BK28">
        <f t="shared" si="26"/>
        <v>3.1155922893133576</v>
      </c>
      <c r="BL28">
        <f t="shared" si="27"/>
        <v>34.449058509821569</v>
      </c>
      <c r="BN28">
        <f t="shared" si="28"/>
        <v>11.39</v>
      </c>
      <c r="BO28">
        <f t="shared" si="29"/>
        <v>1.4024999996962053</v>
      </c>
      <c r="BP28">
        <f t="shared" si="30"/>
        <v>0</v>
      </c>
      <c r="BQ28">
        <f t="shared" si="31"/>
        <v>224.86040239721086</v>
      </c>
      <c r="BS28" s="15">
        <f t="shared" si="32"/>
        <v>0</v>
      </c>
      <c r="BT28" s="15">
        <f t="shared" si="1"/>
        <v>-0.32773602708317362</v>
      </c>
      <c r="BU28" s="15">
        <f t="shared" si="1"/>
        <v>-0.18622064341020414</v>
      </c>
      <c r="BV28" s="15"/>
      <c r="BW28" s="15"/>
      <c r="BX28" s="15">
        <f t="shared" si="1"/>
        <v>-0.1254833779422338</v>
      </c>
      <c r="BY28" s="15"/>
      <c r="BZ28" s="15">
        <f t="shared" si="1"/>
        <v>-0.31672923436159045</v>
      </c>
      <c r="CA28" s="15">
        <f t="shared" si="1"/>
        <v>-0.31182548317529685</v>
      </c>
      <c r="CB28" s="15">
        <f t="shared" si="1"/>
        <v>-0.29091981960874058</v>
      </c>
      <c r="CC28" s="15">
        <f t="shared" si="1"/>
        <v>-0.13188648019169441</v>
      </c>
      <c r="CE28" s="15">
        <f t="shared" si="33"/>
        <v>0</v>
      </c>
      <c r="CF28" s="15">
        <f t="shared" si="34"/>
        <v>-0.51395667049337779</v>
      </c>
      <c r="CG28" s="15">
        <f t="shared" si="35"/>
        <v>0</v>
      </c>
      <c r="CH28" s="15">
        <f t="shared" si="36"/>
        <v>-1.176844395279556</v>
      </c>
      <c r="CJ28">
        <f t="shared" si="37"/>
        <v>8.3143999999999996E-3</v>
      </c>
      <c r="CK28">
        <v>298.14999999999998</v>
      </c>
      <c r="CM28">
        <f t="shared" si="38"/>
        <v>11.39</v>
      </c>
      <c r="CN28">
        <f t="shared" si="39"/>
        <v>0.12843309383229107</v>
      </c>
      <c r="CO28">
        <f t="shared" si="40"/>
        <v>0</v>
      </c>
      <c r="CP28">
        <f t="shared" si="41"/>
        <v>221.94307768200136</v>
      </c>
      <c r="CT28">
        <f t="shared" si="42"/>
        <v>12.057704551999999</v>
      </c>
      <c r="CU28">
        <f t="shared" si="43"/>
        <v>0.12843309383229107</v>
      </c>
      <c r="CV28">
        <f t="shared" si="44"/>
        <v>0</v>
      </c>
      <c r="CW28">
        <f t="shared" si="45"/>
        <v>231.90076548760135</v>
      </c>
      <c r="CY28">
        <f t="shared" si="46"/>
        <v>763.00691389201188</v>
      </c>
      <c r="CZ28" s="5">
        <f t="shared" si="47"/>
        <v>1.2365812209118819E-4</v>
      </c>
      <c r="DA28" s="5">
        <f t="shared" si="48"/>
        <v>0</v>
      </c>
      <c r="DB28">
        <f t="shared" si="49"/>
        <v>53706.396218916256</v>
      </c>
      <c r="DD28">
        <f>'Ch-exr of biomass'!$E$34</f>
        <v>63893.670989028738</v>
      </c>
      <c r="DF28" s="30">
        <v>0.58965517241379306</v>
      </c>
      <c r="DH28" s="13">
        <f t="shared" si="50"/>
        <v>0.83063958523880232</v>
      </c>
      <c r="DI28" s="13">
        <f t="shared" si="51"/>
        <v>3.6069273565971949E-2</v>
      </c>
      <c r="DJ28" s="13">
        <f t="shared" si="52"/>
        <v>0.79549223214261366</v>
      </c>
    </row>
    <row r="30" spans="6:114" x14ac:dyDescent="0.25">
      <c r="CT30" t="s">
        <v>112</v>
      </c>
      <c r="CY30" t="s">
        <v>113</v>
      </c>
    </row>
    <row r="32" spans="6:114" x14ac:dyDescent="0.25">
      <c r="CT32" s="19" t="s">
        <v>98</v>
      </c>
      <c r="CU32" s="19" t="s">
        <v>99</v>
      </c>
      <c r="CV32" s="19" t="s">
        <v>100</v>
      </c>
      <c r="CW32" s="19" t="s">
        <v>101</v>
      </c>
      <c r="CY32" s="19" t="s">
        <v>98</v>
      </c>
      <c r="CZ32" s="19" t="s">
        <v>99</v>
      </c>
      <c r="DA32" s="19" t="s">
        <v>100</v>
      </c>
      <c r="DB32" s="19" t="s">
        <v>101</v>
      </c>
      <c r="DE32" t="str">
        <f>DF17</f>
        <v>S/C</v>
      </c>
      <c r="DF32" s="5" t="str">
        <f>DA16</f>
        <v>Liquid</v>
      </c>
      <c r="DG32" t="str">
        <f>DB16</f>
        <v>Gas</v>
      </c>
      <c r="DH32" t="s">
        <v>123</v>
      </c>
    </row>
    <row r="33" spans="98:112" x14ac:dyDescent="0.25">
      <c r="CT33">
        <f>AU18*F4*1000</f>
        <v>0</v>
      </c>
      <c r="CU33" s="5">
        <f>AV18*(G4+H4)*1000</f>
        <v>0</v>
      </c>
      <c r="CV33" s="5">
        <f>AW18*I4*1000</f>
        <v>370.39079585130793</v>
      </c>
      <c r="CW33">
        <f>AX18*SUM(J4:P4)*1000</f>
        <v>3168.8539448917386</v>
      </c>
      <c r="CY33">
        <f>CM18*F4*1000</f>
        <v>0</v>
      </c>
      <c r="CZ33" s="5">
        <f>CN18*(G4+H4)*1000</f>
        <v>1.2365812209118819E-4</v>
      </c>
      <c r="DA33" s="5">
        <f>CO18*I4*1000</f>
        <v>7844.1046088709154</v>
      </c>
      <c r="DB33">
        <f>CP18*SUM(J4:P4)*1000</f>
        <v>41816.314521332344</v>
      </c>
      <c r="DE33">
        <f>DF18</f>
        <v>0</v>
      </c>
      <c r="DF33" s="5">
        <f>DA18</f>
        <v>8214.4954047222236</v>
      </c>
      <c r="DG33">
        <f>DB18</f>
        <v>44985.16846622408</v>
      </c>
      <c r="DH33">
        <f>DD18</f>
        <v>63893.670989028738</v>
      </c>
    </row>
    <row r="34" spans="98:112" x14ac:dyDescent="0.25">
      <c r="CT34">
        <f t="shared" ref="CT34:CT43" si="62">AU19*F5*1000</f>
        <v>4.2252087652011916</v>
      </c>
      <c r="CU34" s="5">
        <f t="shared" ref="CU34:CU43" si="63">AV19*(G5+H5)*1000</f>
        <v>0</v>
      </c>
      <c r="CV34" s="5">
        <f t="shared" ref="CV34:CV43" si="64">AW19*I5*1000</f>
        <v>85.012076529659922</v>
      </c>
      <c r="CW34">
        <f t="shared" ref="CW34:CW43" si="65">AX19*SUM(J5:P5)*1000</f>
        <v>3337.400838634815</v>
      </c>
      <c r="CY34">
        <f t="shared" ref="CY34:CY43" si="66">CM19*F5*1000</f>
        <v>72.075482624000003</v>
      </c>
      <c r="CZ34" s="5">
        <f t="shared" ref="CZ34:CZ43" si="67">CN19*(G5+H5)*1000</f>
        <v>1.2365812209118819E-4</v>
      </c>
      <c r="DA34" s="5">
        <f t="shared" ref="DA34:DA43" si="68">CO19*I5*1000</f>
        <v>1916.9581865413979</v>
      </c>
      <c r="DB34">
        <f t="shared" ref="DB34:DB43" si="69">CP19*SUM(J5:P5)*1000</f>
        <v>47656.309278333923</v>
      </c>
      <c r="DE34">
        <f t="shared" ref="DE34:DE43" si="70">DF19</f>
        <v>5.8965517241379307E-2</v>
      </c>
      <c r="DF34" s="5">
        <f t="shared" ref="DF34:DG34" si="71">DA19</f>
        <v>2001.9702630710583</v>
      </c>
      <c r="DG34">
        <f t="shared" si="71"/>
        <v>50993.710116968738</v>
      </c>
      <c r="DH34">
        <f t="shared" ref="DH34:DH43" si="72">DD19</f>
        <v>63893.670989028738</v>
      </c>
    </row>
    <row r="35" spans="98:112" x14ac:dyDescent="0.25">
      <c r="CT35">
        <f t="shared" si="62"/>
        <v>8.4504175304023832</v>
      </c>
      <c r="CU35" s="5">
        <f t="shared" si="63"/>
        <v>0</v>
      </c>
      <c r="CV35" s="5">
        <f t="shared" si="64"/>
        <v>5.0137001399876225E-3</v>
      </c>
      <c r="CW35">
        <f t="shared" si="65"/>
        <v>3123.2788300557995</v>
      </c>
      <c r="CY35">
        <f t="shared" si="66"/>
        <v>144.15096524800001</v>
      </c>
      <c r="CZ35" s="5">
        <f t="shared" si="67"/>
        <v>1.2365812209118819E-4</v>
      </c>
      <c r="DA35" s="5">
        <f t="shared" si="68"/>
        <v>0.12971940965517764</v>
      </c>
      <c r="DB35">
        <f t="shared" si="69"/>
        <v>50168.628798523452</v>
      </c>
      <c r="DE35">
        <f t="shared" si="70"/>
        <v>0.11793103448275861</v>
      </c>
      <c r="DF35" s="5">
        <f t="shared" ref="DF35:DG35" si="73">DA20</f>
        <v>0.13473310979516528</v>
      </c>
      <c r="DG35">
        <f t="shared" si="73"/>
        <v>53291.907628579247</v>
      </c>
      <c r="DH35">
        <f t="shared" si="72"/>
        <v>63893.670989028738</v>
      </c>
    </row>
    <row r="36" spans="98:112" x14ac:dyDescent="0.25">
      <c r="CT36">
        <f t="shared" si="62"/>
        <v>12.675626295603575</v>
      </c>
      <c r="CU36" s="5">
        <f t="shared" si="63"/>
        <v>0</v>
      </c>
      <c r="CV36" s="5">
        <f t="shared" si="64"/>
        <v>2.4029095381171516E-9</v>
      </c>
      <c r="CW36">
        <f t="shared" si="65"/>
        <v>2709.9628534931603</v>
      </c>
      <c r="CY36">
        <f t="shared" si="66"/>
        <v>216.22644787200002</v>
      </c>
      <c r="CZ36" s="5">
        <f t="shared" si="67"/>
        <v>1.2365812209118819E-4</v>
      </c>
      <c r="DA36" s="5">
        <f t="shared" si="68"/>
        <v>9.2290409612512661E-8</v>
      </c>
      <c r="DB36">
        <f t="shared" si="69"/>
        <v>51097.238643162469</v>
      </c>
      <c r="DE36">
        <f t="shared" si="70"/>
        <v>0.17689655172413796</v>
      </c>
      <c r="DF36" s="5">
        <f t="shared" ref="DF36:DG36" si="74">DA21</f>
        <v>9.4693319150629807E-8</v>
      </c>
      <c r="DG36">
        <f t="shared" si="74"/>
        <v>53807.201496655631</v>
      </c>
      <c r="DH36">
        <f t="shared" si="72"/>
        <v>63893.670989028738</v>
      </c>
    </row>
    <row r="37" spans="98:112" x14ac:dyDescent="0.25">
      <c r="CT37">
        <f t="shared" si="62"/>
        <v>16.900835060804766</v>
      </c>
      <c r="CU37" s="5">
        <f t="shared" si="63"/>
        <v>0</v>
      </c>
      <c r="CV37" s="5">
        <f t="shared" si="64"/>
        <v>0</v>
      </c>
      <c r="CW37">
        <f t="shared" si="65"/>
        <v>2343.4204044273192</v>
      </c>
      <c r="CY37">
        <f t="shared" si="66"/>
        <v>288.30193049600001</v>
      </c>
      <c r="CZ37" s="5">
        <f t="shared" si="67"/>
        <v>1.2365812209118819E-4</v>
      </c>
      <c r="DA37" s="5">
        <f t="shared" si="68"/>
        <v>0</v>
      </c>
      <c r="DB37">
        <f t="shared" si="69"/>
        <v>51847.486562163853</v>
      </c>
      <c r="DE37">
        <f t="shared" si="70"/>
        <v>0.23586206896551723</v>
      </c>
      <c r="DF37" s="5">
        <f t="shared" ref="DF37:DG37" si="75">DA22</f>
        <v>0</v>
      </c>
      <c r="DG37">
        <f t="shared" si="75"/>
        <v>54190.906966591174</v>
      </c>
      <c r="DH37">
        <f t="shared" si="72"/>
        <v>63893.670989028738</v>
      </c>
    </row>
    <row r="38" spans="98:112" x14ac:dyDescent="0.25">
      <c r="CT38">
        <f t="shared" si="62"/>
        <v>21.126043826005958</v>
      </c>
      <c r="CU38" s="5">
        <f t="shared" si="63"/>
        <v>0</v>
      </c>
      <c r="CV38" s="5">
        <f t="shared" si="64"/>
        <v>0</v>
      </c>
      <c r="CW38">
        <f t="shared" si="65"/>
        <v>2232.1364994368646</v>
      </c>
      <c r="CY38">
        <f t="shared" si="66"/>
        <v>360.37741311999997</v>
      </c>
      <c r="CZ38" s="5">
        <f t="shared" si="67"/>
        <v>1.2365812209118819E-4</v>
      </c>
      <c r="DA38" s="5">
        <f t="shared" si="68"/>
        <v>0</v>
      </c>
      <c r="DB38">
        <f t="shared" si="69"/>
        <v>51997.859818262441</v>
      </c>
      <c r="DE38">
        <f t="shared" si="70"/>
        <v>0.29482758620689653</v>
      </c>
      <c r="DF38" s="5">
        <f t="shared" ref="DF38:DG38" si="76">DA23</f>
        <v>0</v>
      </c>
      <c r="DG38">
        <f t="shared" si="76"/>
        <v>54229.996317699311</v>
      </c>
      <c r="DH38">
        <f t="shared" si="72"/>
        <v>63893.670989028738</v>
      </c>
    </row>
    <row r="39" spans="98:112" x14ac:dyDescent="0.25">
      <c r="CT39">
        <f t="shared" si="62"/>
        <v>25.35125259120715</v>
      </c>
      <c r="CU39" s="5">
        <f t="shared" si="63"/>
        <v>0</v>
      </c>
      <c r="CV39" s="5">
        <f t="shared" si="64"/>
        <v>0</v>
      </c>
      <c r="CW39">
        <f t="shared" si="65"/>
        <v>2221.7335029149181</v>
      </c>
      <c r="CY39">
        <f t="shared" si="66"/>
        <v>432.45289574400005</v>
      </c>
      <c r="CZ39" s="5">
        <f t="shared" si="67"/>
        <v>1.2365812209118819E-4</v>
      </c>
      <c r="DA39" s="5">
        <f t="shared" si="68"/>
        <v>0</v>
      </c>
      <c r="DB39">
        <f t="shared" si="69"/>
        <v>51928.413830610887</v>
      </c>
      <c r="DE39">
        <f t="shared" si="70"/>
        <v>0.35379310344827591</v>
      </c>
      <c r="DF39" s="5">
        <f t="shared" ref="DF39:DG39" si="77">DA24</f>
        <v>0</v>
      </c>
      <c r="DG39">
        <f t="shared" si="77"/>
        <v>54150.147333525798</v>
      </c>
      <c r="DH39">
        <f t="shared" si="72"/>
        <v>63893.670989028738</v>
      </c>
    </row>
    <row r="40" spans="98:112" x14ac:dyDescent="0.25">
      <c r="CT40">
        <f t="shared" si="62"/>
        <v>29.576461356408345</v>
      </c>
      <c r="CU40" s="5">
        <f t="shared" si="63"/>
        <v>0</v>
      </c>
      <c r="CV40" s="5">
        <f t="shared" si="64"/>
        <v>0</v>
      </c>
      <c r="CW40">
        <f t="shared" si="65"/>
        <v>2236.6673585389699</v>
      </c>
      <c r="CY40">
        <f t="shared" si="66"/>
        <v>504.52837836800001</v>
      </c>
      <c r="CZ40" s="5">
        <f t="shared" si="67"/>
        <v>1.2365812209118819E-4</v>
      </c>
      <c r="DA40" s="5">
        <f t="shared" si="68"/>
        <v>0</v>
      </c>
      <c r="DB40">
        <f t="shared" si="69"/>
        <v>51807.1429588873</v>
      </c>
      <c r="DE40">
        <f t="shared" si="70"/>
        <v>0.41275862068965519</v>
      </c>
      <c r="DF40" s="5">
        <f t="shared" ref="DF40:DG40" si="78">DA25</f>
        <v>0</v>
      </c>
      <c r="DG40">
        <f t="shared" si="78"/>
        <v>54043.810317426265</v>
      </c>
      <c r="DH40">
        <f t="shared" si="72"/>
        <v>63893.670989028738</v>
      </c>
    </row>
    <row r="41" spans="98:112" x14ac:dyDescent="0.25">
      <c r="CT41">
        <f t="shared" si="62"/>
        <v>33.801670121609533</v>
      </c>
      <c r="CU41" s="5">
        <f t="shared" si="63"/>
        <v>0</v>
      </c>
      <c r="CV41" s="5">
        <f t="shared" si="64"/>
        <v>0</v>
      </c>
      <c r="CW41">
        <f t="shared" si="65"/>
        <v>2259.4892575824447</v>
      </c>
      <c r="CY41">
        <f t="shared" si="66"/>
        <v>576.60386099200002</v>
      </c>
      <c r="CZ41" s="5">
        <f t="shared" si="67"/>
        <v>1.2365812209118819E-4</v>
      </c>
      <c r="DA41" s="5">
        <f t="shared" si="68"/>
        <v>0</v>
      </c>
      <c r="DB41">
        <f t="shared" si="69"/>
        <v>51671.074892568497</v>
      </c>
      <c r="DE41">
        <f t="shared" si="70"/>
        <v>0.47172413793103446</v>
      </c>
      <c r="DF41" s="5">
        <f t="shared" ref="DF41:DG41" si="79">DA26</f>
        <v>0</v>
      </c>
      <c r="DG41">
        <f t="shared" si="79"/>
        <v>53930.564150150945</v>
      </c>
      <c r="DH41">
        <f t="shared" si="72"/>
        <v>63893.670989028738</v>
      </c>
    </row>
    <row r="42" spans="98:112" x14ac:dyDescent="0.25">
      <c r="CT42">
        <f t="shared" si="62"/>
        <v>38.026878886810728</v>
      </c>
      <c r="CU42" s="5">
        <f t="shared" si="63"/>
        <v>0</v>
      </c>
      <c r="CV42" s="5">
        <f t="shared" si="64"/>
        <v>0</v>
      </c>
      <c r="CW42">
        <f t="shared" si="65"/>
        <v>2283.7777345049035</v>
      </c>
      <c r="CY42">
        <f t="shared" si="66"/>
        <v>648.6793436160001</v>
      </c>
      <c r="CZ42" s="5">
        <f t="shared" si="67"/>
        <v>1.2365812209118819E-4</v>
      </c>
      <c r="DA42" s="5">
        <f t="shared" si="68"/>
        <v>0</v>
      </c>
      <c r="DB42">
        <f t="shared" si="69"/>
        <v>51533.250338746227</v>
      </c>
      <c r="DE42">
        <f t="shared" si="70"/>
        <v>0.53068965517241384</v>
      </c>
      <c r="DF42" s="5">
        <f t="shared" ref="DF42:DG42" si="80">DA27</f>
        <v>0</v>
      </c>
      <c r="DG42">
        <f t="shared" si="80"/>
        <v>53817.028073251131</v>
      </c>
      <c r="DH42">
        <f t="shared" si="72"/>
        <v>63893.670989028738</v>
      </c>
    </row>
    <row r="43" spans="98:112" x14ac:dyDescent="0.25">
      <c r="CT43">
        <f t="shared" si="62"/>
        <v>42.252087652011916</v>
      </c>
      <c r="CU43" s="5">
        <f t="shared" si="63"/>
        <v>0</v>
      </c>
      <c r="CV43" s="5">
        <f t="shared" si="64"/>
        <v>0</v>
      </c>
      <c r="CW43">
        <f t="shared" si="65"/>
        <v>2306.122300145737</v>
      </c>
      <c r="CY43">
        <f t="shared" si="66"/>
        <v>720.75482623999994</v>
      </c>
      <c r="CZ43" s="5">
        <f t="shared" si="67"/>
        <v>1.2365812209118819E-4</v>
      </c>
      <c r="DA43" s="5">
        <f t="shared" si="68"/>
        <v>0</v>
      </c>
      <c r="DB43">
        <f t="shared" si="69"/>
        <v>51400.273918770523</v>
      </c>
      <c r="DE43">
        <f t="shared" si="70"/>
        <v>0.58965517241379306</v>
      </c>
      <c r="DF43" s="5">
        <f t="shared" ref="DF43:DG43" si="81">DA28</f>
        <v>0</v>
      </c>
      <c r="DG43">
        <f t="shared" si="81"/>
        <v>53706.396218916256</v>
      </c>
      <c r="DH43">
        <f t="shared" si="72"/>
        <v>63893.670989028738</v>
      </c>
    </row>
    <row r="44" spans="98:112" x14ac:dyDescent="0.25">
      <c r="CU44" s="5"/>
      <c r="CV44" s="5"/>
    </row>
    <row r="45" spans="98:112" x14ac:dyDescent="0.25">
      <c r="CU45" s="5"/>
      <c r="CV45" s="5"/>
    </row>
  </sheetData>
  <mergeCells count="14">
    <mergeCell ref="BT15:BU15"/>
    <mergeCell ref="BW15:CC15"/>
    <mergeCell ref="AI15:AL15"/>
    <mergeCell ref="AP15:AS15"/>
    <mergeCell ref="AU15:AX15"/>
    <mergeCell ref="AU16:AX16"/>
    <mergeCell ref="BC15:BD15"/>
    <mergeCell ref="I1:P1"/>
    <mergeCell ref="BF15:BL15"/>
    <mergeCell ref="F1:H1"/>
    <mergeCell ref="R15:U15"/>
    <mergeCell ref="W15:Z15"/>
    <mergeCell ref="AD15:AG15"/>
    <mergeCell ref="AP16:AS16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7"/>
  <sheetViews>
    <sheetView workbookViewId="0">
      <selection activeCell="W19" sqref="W19"/>
    </sheetView>
  </sheetViews>
  <sheetFormatPr defaultRowHeight="15" x14ac:dyDescent="0.25"/>
  <sheetData>
    <row r="1" spans="1:28" x14ac:dyDescent="0.25">
      <c r="A1" t="s">
        <v>52</v>
      </c>
    </row>
    <row r="2" spans="1:28" x14ac:dyDescent="0.25">
      <c r="B2" t="s">
        <v>54</v>
      </c>
      <c r="C2" s="29" t="s">
        <v>67</v>
      </c>
      <c r="D2" s="26" t="s">
        <v>68</v>
      </c>
      <c r="E2" s="26" t="s">
        <v>69</v>
      </c>
      <c r="F2" s="9" t="s">
        <v>70</v>
      </c>
      <c r="G2" s="1" t="s">
        <v>71</v>
      </c>
      <c r="H2" s="28" t="s">
        <v>72</v>
      </c>
      <c r="I2" s="28" t="s">
        <v>73</v>
      </c>
      <c r="J2" s="28" t="s">
        <v>74</v>
      </c>
      <c r="K2" s="28" t="s">
        <v>75</v>
      </c>
      <c r="L2" s="28" t="s">
        <v>76</v>
      </c>
      <c r="M2" s="28" t="s">
        <v>77</v>
      </c>
      <c r="N2" s="28" t="s">
        <v>78</v>
      </c>
      <c r="O2" t="s">
        <v>81</v>
      </c>
      <c r="P2" t="s">
        <v>82</v>
      </c>
      <c r="Q2" t="s">
        <v>83</v>
      </c>
      <c r="R2" t="s">
        <v>84</v>
      </c>
      <c r="S2" t="s">
        <v>85</v>
      </c>
      <c r="T2" t="s">
        <v>55</v>
      </c>
      <c r="U2" t="s">
        <v>86</v>
      </c>
      <c r="V2" t="s">
        <v>87</v>
      </c>
      <c r="W2" t="s">
        <v>88</v>
      </c>
      <c r="X2" t="s">
        <v>89</v>
      </c>
      <c r="Y2" t="s">
        <v>92</v>
      </c>
      <c r="Z2" t="s">
        <v>93</v>
      </c>
      <c r="AA2" t="s">
        <v>94</v>
      </c>
      <c r="AB2" t="s">
        <v>95</v>
      </c>
    </row>
    <row r="3" spans="1:28" x14ac:dyDescent="0.25">
      <c r="B3" t="s">
        <v>66</v>
      </c>
    </row>
    <row r="4" spans="1:28" x14ac:dyDescent="0.25">
      <c r="B4" t="s">
        <v>57</v>
      </c>
    </row>
    <row r="5" spans="1:28" x14ac:dyDescent="0.25">
      <c r="B5" t="s">
        <v>116</v>
      </c>
    </row>
    <row r="6" spans="1:28" x14ac:dyDescent="0.25">
      <c r="B6" t="s">
        <v>59</v>
      </c>
      <c r="C6" t="s">
        <v>64</v>
      </c>
      <c r="D6" t="s">
        <v>64</v>
      </c>
      <c r="E6" t="s">
        <v>64</v>
      </c>
      <c r="F6" t="s">
        <v>64</v>
      </c>
      <c r="G6" t="s">
        <v>64</v>
      </c>
      <c r="H6" t="s">
        <v>64</v>
      </c>
      <c r="I6" t="s">
        <v>64</v>
      </c>
      <c r="J6" t="s">
        <v>64</v>
      </c>
      <c r="K6" t="s">
        <v>64</v>
      </c>
      <c r="L6" t="s">
        <v>64</v>
      </c>
      <c r="M6" t="s">
        <v>64</v>
      </c>
      <c r="N6" t="s">
        <v>64</v>
      </c>
      <c r="O6" t="s">
        <v>90</v>
      </c>
      <c r="P6" t="s">
        <v>90</v>
      </c>
      <c r="Q6" t="s">
        <v>90</v>
      </c>
      <c r="R6" t="s">
        <v>90</v>
      </c>
      <c r="S6" t="s">
        <v>90</v>
      </c>
      <c r="T6" t="s">
        <v>91</v>
      </c>
      <c r="U6" t="s">
        <v>91</v>
      </c>
      <c r="V6" t="s">
        <v>91</v>
      </c>
      <c r="W6" t="s">
        <v>91</v>
      </c>
      <c r="X6" t="s">
        <v>91</v>
      </c>
      <c r="Y6" t="s">
        <v>90</v>
      </c>
      <c r="Z6" t="s">
        <v>91</v>
      </c>
      <c r="AA6" t="s">
        <v>90</v>
      </c>
      <c r="AB6" t="s">
        <v>91</v>
      </c>
    </row>
    <row r="7" spans="1:28" x14ac:dyDescent="0.25">
      <c r="A7">
        <v>1</v>
      </c>
      <c r="B7">
        <v>0</v>
      </c>
      <c r="C7">
        <v>0</v>
      </c>
      <c r="D7" s="5">
        <v>2.0219247900000001E-7</v>
      </c>
      <c r="E7" s="5">
        <v>7.6062885000000001E-7</v>
      </c>
      <c r="F7">
        <v>1.7594840699999999E-3</v>
      </c>
      <c r="G7" s="5">
        <v>7.0000000000000001E-3</v>
      </c>
      <c r="H7">
        <v>0</v>
      </c>
      <c r="I7" s="5">
        <v>8.0452936199999995E-3</v>
      </c>
      <c r="J7" s="5">
        <v>0</v>
      </c>
      <c r="K7">
        <v>3.8924473100000002E-2</v>
      </c>
      <c r="L7">
        <v>5.2295841699999998E-2</v>
      </c>
      <c r="M7" s="5">
        <v>5.0088652000000001E-8</v>
      </c>
      <c r="N7">
        <v>2.23724215E-2</v>
      </c>
      <c r="O7">
        <v>-12532.7912</v>
      </c>
      <c r="P7">
        <v>451147249</v>
      </c>
      <c r="Q7">
        <v>-18443300.899999999</v>
      </c>
      <c r="R7" s="5">
        <v>95447533.700000003</v>
      </c>
      <c r="S7">
        <v>-61236363.600000001</v>
      </c>
      <c r="T7">
        <v>4233.3923999999997</v>
      </c>
      <c r="U7">
        <v>93584.823600000003</v>
      </c>
      <c r="V7">
        <v>89841.603099999993</v>
      </c>
      <c r="W7">
        <v>-393625.54499999998</v>
      </c>
      <c r="X7">
        <v>33661.8488</v>
      </c>
    </row>
    <row r="8" spans="1:28" x14ac:dyDescent="0.25">
      <c r="A8">
        <v>2</v>
      </c>
      <c r="B8">
        <v>0.114</v>
      </c>
      <c r="C8">
        <v>6.3279616000000002E-3</v>
      </c>
      <c r="D8" s="5">
        <v>2.0219247900000001E-7</v>
      </c>
      <c r="E8" s="5">
        <v>7.6062885000000001E-7</v>
      </c>
      <c r="F8">
        <v>4.2998628399999999E-4</v>
      </c>
      <c r="G8" s="5">
        <v>7.0000000000000001E-3</v>
      </c>
      <c r="H8">
        <v>0</v>
      </c>
      <c r="I8" s="5">
        <v>8.71004251E-3</v>
      </c>
      <c r="J8" s="5">
        <v>0</v>
      </c>
      <c r="K8">
        <v>4.12887974E-2</v>
      </c>
      <c r="L8">
        <v>5.8623794999999999E-2</v>
      </c>
      <c r="M8" s="5">
        <v>1.06102476E-7</v>
      </c>
      <c r="N8">
        <v>2.66810169E-2</v>
      </c>
      <c r="O8">
        <v>-12532.7912</v>
      </c>
      <c r="P8">
        <v>434886477</v>
      </c>
      <c r="Q8">
        <v>-21476120.5</v>
      </c>
      <c r="R8" s="5">
        <v>95407475</v>
      </c>
      <c r="S8">
        <v>-62595267.200000003</v>
      </c>
      <c r="T8">
        <v>4233.3923999999997</v>
      </c>
      <c r="U8">
        <v>82134.157300000006</v>
      </c>
      <c r="V8">
        <v>88125.1878</v>
      </c>
      <c r="W8">
        <v>-393604.74200000003</v>
      </c>
      <c r="X8">
        <v>32913.2451</v>
      </c>
      <c r="Y8">
        <v>-281599973</v>
      </c>
      <c r="Z8">
        <v>-149605.666</v>
      </c>
      <c r="AA8">
        <v>-287753612</v>
      </c>
      <c r="AB8">
        <v>-168014.842</v>
      </c>
    </row>
    <row r="9" spans="1:28" x14ac:dyDescent="0.25">
      <c r="A9">
        <v>3</v>
      </c>
      <c r="B9">
        <v>0.22800000000000001</v>
      </c>
      <c r="C9">
        <v>1.26559232E-2</v>
      </c>
      <c r="D9" s="5">
        <v>2.0219247900000001E-7</v>
      </c>
      <c r="E9" s="5">
        <v>7.6062885000000001E-7</v>
      </c>
      <c r="F9" s="5">
        <v>2.90969137E-8</v>
      </c>
      <c r="G9" s="5">
        <v>7.0000000000000001E-3</v>
      </c>
      <c r="H9">
        <v>0</v>
      </c>
      <c r="I9" s="5">
        <v>8.9250211100000004E-3</v>
      </c>
      <c r="J9" s="5">
        <v>0</v>
      </c>
      <c r="K9" s="5">
        <v>5.4895299299999999E-2</v>
      </c>
      <c r="L9">
        <v>6.4949844199999995E-2</v>
      </c>
      <c r="M9" s="5">
        <v>1.1251421799999999E-6</v>
      </c>
      <c r="N9">
        <v>2.3794360399999999E-2</v>
      </c>
      <c r="O9">
        <v>-12532.7912</v>
      </c>
      <c r="P9">
        <v>396644172</v>
      </c>
      <c r="Q9">
        <v>-23198929.100000001</v>
      </c>
      <c r="R9" s="5">
        <v>90002073.200000003</v>
      </c>
      <c r="S9">
        <v>-58688891</v>
      </c>
      <c r="T9">
        <v>4233.3923999999997</v>
      </c>
      <c r="U9">
        <v>59292.885300000002</v>
      </c>
      <c r="V9">
        <v>85677.674700000003</v>
      </c>
      <c r="W9">
        <v>-391484.70799999998</v>
      </c>
      <c r="X9">
        <v>35280.8361</v>
      </c>
      <c r="Y9">
        <v>-281599973</v>
      </c>
      <c r="Z9">
        <v>-149605.666</v>
      </c>
      <c r="AA9">
        <v>-287753612</v>
      </c>
      <c r="AB9">
        <v>-168014.842</v>
      </c>
    </row>
    <row r="10" spans="1:28" x14ac:dyDescent="0.25">
      <c r="A10">
        <v>4</v>
      </c>
      <c r="B10">
        <v>0.34200000000000003</v>
      </c>
      <c r="C10">
        <v>1.89838848E-2</v>
      </c>
      <c r="D10" s="5">
        <v>2.0219247900000001E-7</v>
      </c>
      <c r="E10" s="5">
        <v>7.6062885000000001E-7</v>
      </c>
      <c r="F10" s="5">
        <v>2.0701343700000001E-14</v>
      </c>
      <c r="G10">
        <v>7.0000000000000001E-3</v>
      </c>
      <c r="H10">
        <v>0</v>
      </c>
      <c r="I10" s="5">
        <v>8.9250356600000004E-3</v>
      </c>
      <c r="J10" s="5">
        <v>0</v>
      </c>
      <c r="K10" s="5">
        <v>7.38117784E-2</v>
      </c>
      <c r="L10">
        <v>7.1210769100000001E-2</v>
      </c>
      <c r="M10" s="5">
        <v>3.4643823799999998E-5</v>
      </c>
      <c r="N10">
        <v>1.7500153599999999E-2</v>
      </c>
      <c r="O10">
        <v>-12532.7912</v>
      </c>
      <c r="P10">
        <v>92835271.799999997</v>
      </c>
      <c r="Q10">
        <v>-24534914.5</v>
      </c>
      <c r="R10" s="5">
        <v>-134195824</v>
      </c>
      <c r="S10">
        <v>-53591810.600000001</v>
      </c>
      <c r="T10">
        <v>4233.3923999999997</v>
      </c>
      <c r="U10">
        <v>30867.486799999999</v>
      </c>
      <c r="V10">
        <v>82580.769</v>
      </c>
      <c r="W10">
        <v>-341468.23200000002</v>
      </c>
      <c r="X10">
        <v>38105.1319</v>
      </c>
      <c r="Y10">
        <v>-281599973</v>
      </c>
      <c r="Z10">
        <v>-149605.666</v>
      </c>
      <c r="AA10">
        <v>-287753612</v>
      </c>
      <c r="AB10">
        <v>-168014.842</v>
      </c>
    </row>
    <row r="11" spans="1:28" x14ac:dyDescent="0.25">
      <c r="A11">
        <v>5</v>
      </c>
      <c r="B11">
        <v>0.45600000000000002</v>
      </c>
      <c r="C11">
        <v>2.5311846400000001E-2</v>
      </c>
      <c r="D11" s="5">
        <v>2.0219247900000001E-7</v>
      </c>
      <c r="E11" s="5">
        <v>7.6062885000000001E-7</v>
      </c>
      <c r="F11">
        <v>0</v>
      </c>
      <c r="G11">
        <v>7.0000000000000001E-3</v>
      </c>
      <c r="H11">
        <v>0</v>
      </c>
      <c r="I11" s="5">
        <v>8.9250356600000004E-3</v>
      </c>
      <c r="J11" s="5">
        <v>0</v>
      </c>
      <c r="K11">
        <v>9.0640637800000007E-2</v>
      </c>
      <c r="L11">
        <v>7.5383705400000001E-2</v>
      </c>
      <c r="M11">
        <v>1.1121564999999999E-3</v>
      </c>
      <c r="N11">
        <v>1.2249704700000001E-2</v>
      </c>
      <c r="O11">
        <v>-12532.7912</v>
      </c>
      <c r="Q11">
        <v>-27097958.100000001</v>
      </c>
      <c r="S11">
        <v>-51425751.200000003</v>
      </c>
      <c r="T11">
        <v>4233.3923999999997</v>
      </c>
      <c r="V11">
        <v>79271.581200000001</v>
      </c>
      <c r="X11">
        <v>39394.423300000002</v>
      </c>
      <c r="Y11">
        <v>-281599973</v>
      </c>
      <c r="Z11">
        <v>-149605.666</v>
      </c>
      <c r="AA11">
        <v>-287753612</v>
      </c>
      <c r="AB11">
        <v>-168014.842</v>
      </c>
    </row>
    <row r="12" spans="1:28" x14ac:dyDescent="0.25">
      <c r="A12">
        <v>6</v>
      </c>
      <c r="B12">
        <v>0.56999999999999995</v>
      </c>
      <c r="C12">
        <v>3.1639807999999998E-2</v>
      </c>
      <c r="D12" s="5">
        <v>2.0219247900000001E-7</v>
      </c>
      <c r="E12" s="5">
        <v>7.6062885000000001E-7</v>
      </c>
      <c r="F12">
        <v>0</v>
      </c>
      <c r="G12">
        <v>7.0000000000000001E-3</v>
      </c>
      <c r="H12">
        <v>0</v>
      </c>
      <c r="I12" s="5">
        <v>8.9250356600000004E-3</v>
      </c>
      <c r="J12" s="5">
        <v>0</v>
      </c>
      <c r="K12">
        <v>0.10066351599999999</v>
      </c>
      <c r="L12">
        <v>7.2750660499999995E-2</v>
      </c>
      <c r="M12">
        <v>5.5926597400000003E-3</v>
      </c>
      <c r="N12">
        <v>1.0402246299999999E-2</v>
      </c>
      <c r="O12">
        <v>-12532.7912</v>
      </c>
      <c r="Q12">
        <v>-32881067</v>
      </c>
      <c r="S12">
        <v>-55555504.5</v>
      </c>
      <c r="T12">
        <v>4233.3923999999997</v>
      </c>
      <c r="V12">
        <v>76103.025399999999</v>
      </c>
      <c r="X12">
        <v>37780.836499999998</v>
      </c>
      <c r="Y12">
        <v>-281599973</v>
      </c>
      <c r="Z12">
        <v>-149605.666</v>
      </c>
      <c r="AA12">
        <v>-287753612</v>
      </c>
      <c r="AB12">
        <v>-168014.842</v>
      </c>
    </row>
    <row r="13" spans="1:28" x14ac:dyDescent="0.25">
      <c r="A13">
        <v>7</v>
      </c>
      <c r="B13">
        <v>0.68400000000000005</v>
      </c>
      <c r="C13">
        <v>3.79677696E-2</v>
      </c>
      <c r="D13" s="5">
        <v>2.0219247900000001E-7</v>
      </c>
      <c r="E13" s="5">
        <v>7.6062885000000001E-7</v>
      </c>
      <c r="F13">
        <v>0</v>
      </c>
      <c r="G13">
        <v>7.0000000000000001E-3</v>
      </c>
      <c r="H13">
        <v>0</v>
      </c>
      <c r="I13" s="5">
        <v>8.9250356600000004E-3</v>
      </c>
      <c r="J13" s="5">
        <v>0</v>
      </c>
      <c r="K13">
        <v>0.108063967</v>
      </c>
      <c r="L13">
        <v>6.74951882E-2</v>
      </c>
      <c r="M13">
        <v>1.1384376700000001E-2</v>
      </c>
      <c r="N13">
        <v>9.8660016499999992E-3</v>
      </c>
      <c r="O13">
        <v>-12532.7912</v>
      </c>
      <c r="Q13">
        <v>-39530605.899999999</v>
      </c>
      <c r="S13">
        <v>-61617816.299999997</v>
      </c>
      <c r="T13">
        <v>4233.3923999999997</v>
      </c>
      <c r="V13">
        <v>72965.161300000007</v>
      </c>
      <c r="X13">
        <v>35085.356699999997</v>
      </c>
      <c r="Y13">
        <v>-281599973</v>
      </c>
      <c r="Z13">
        <v>-149605.666</v>
      </c>
      <c r="AA13">
        <v>-287753612</v>
      </c>
      <c r="AB13">
        <v>-168014.842</v>
      </c>
    </row>
    <row r="14" spans="1:28" x14ac:dyDescent="0.25">
      <c r="A14">
        <v>8</v>
      </c>
      <c r="B14">
        <v>0.79800000000000004</v>
      </c>
      <c r="C14">
        <v>4.4295731200000001E-2</v>
      </c>
      <c r="D14" s="5">
        <v>2.0219247900000001E-7</v>
      </c>
      <c r="E14" s="5">
        <v>7.6062885000000001E-7</v>
      </c>
      <c r="F14">
        <v>0</v>
      </c>
      <c r="G14">
        <v>7.0000000000000001E-3</v>
      </c>
      <c r="H14">
        <v>0</v>
      </c>
      <c r="I14" s="5">
        <v>8.9250356600000004E-3</v>
      </c>
      <c r="J14" s="5">
        <v>0</v>
      </c>
      <c r="K14">
        <v>0.114767402</v>
      </c>
      <c r="L14">
        <v>6.1542699899999997E-2</v>
      </c>
      <c r="M14">
        <v>1.75246017E-2</v>
      </c>
      <c r="N14">
        <v>9.67826504E-3</v>
      </c>
      <c r="O14">
        <v>-12532.7912</v>
      </c>
      <c r="Q14">
        <v>-46118694.399999999</v>
      </c>
      <c r="S14">
        <v>-67885017.200000003</v>
      </c>
      <c r="T14">
        <v>4233.3923999999997</v>
      </c>
      <c r="V14">
        <v>69852.695699999997</v>
      </c>
      <c r="X14">
        <v>32142.099399999999</v>
      </c>
      <c r="Y14">
        <v>-281599973</v>
      </c>
      <c r="Z14">
        <v>-149605.666</v>
      </c>
      <c r="AA14">
        <v>-287753612</v>
      </c>
      <c r="AB14">
        <v>-168014.842</v>
      </c>
    </row>
    <row r="15" spans="1:28" x14ac:dyDescent="0.25">
      <c r="A15">
        <v>9</v>
      </c>
      <c r="B15">
        <v>0.91200000000000003</v>
      </c>
      <c r="C15">
        <v>5.0623692800000002E-2</v>
      </c>
      <c r="D15" s="5">
        <v>2.0219247900000001E-7</v>
      </c>
      <c r="E15" s="5">
        <v>7.6062885000000001E-7</v>
      </c>
      <c r="F15">
        <v>0</v>
      </c>
      <c r="G15">
        <v>7.0000000000000001E-3</v>
      </c>
      <c r="H15">
        <v>0</v>
      </c>
      <c r="I15" s="5">
        <v>8.9250356600000004E-3</v>
      </c>
      <c r="J15" s="5">
        <v>0</v>
      </c>
      <c r="K15">
        <v>0.121216898</v>
      </c>
      <c r="L15">
        <v>5.5336272300000003E-2</v>
      </c>
      <c r="M15">
        <v>2.37917962E-2</v>
      </c>
      <c r="N15">
        <v>9.6174980099999995E-3</v>
      </c>
      <c r="O15">
        <v>-12532.7912</v>
      </c>
      <c r="Q15">
        <v>-52462731.600000001</v>
      </c>
      <c r="S15">
        <v>-73997657.799999997</v>
      </c>
      <c r="T15">
        <v>4233.3923999999997</v>
      </c>
      <c r="V15">
        <v>66784.050600000002</v>
      </c>
      <c r="X15">
        <v>29158.8125</v>
      </c>
      <c r="Y15">
        <v>-281599973</v>
      </c>
      <c r="Z15">
        <v>-149605.666</v>
      </c>
      <c r="AA15">
        <v>-287753612</v>
      </c>
      <c r="AB15">
        <v>-168014.842</v>
      </c>
    </row>
    <row r="16" spans="1:28" x14ac:dyDescent="0.25">
      <c r="A16">
        <v>10</v>
      </c>
      <c r="B16">
        <v>1.026</v>
      </c>
      <c r="C16">
        <v>5.6951654400000003E-2</v>
      </c>
      <c r="D16" s="5">
        <v>2.0219247900000001E-7</v>
      </c>
      <c r="E16" s="5">
        <v>7.6062885000000001E-7</v>
      </c>
      <c r="F16">
        <v>0</v>
      </c>
      <c r="G16">
        <v>7.0000000000000001E-3</v>
      </c>
      <c r="H16">
        <v>0</v>
      </c>
      <c r="I16" s="5">
        <v>8.9250356600000004E-3</v>
      </c>
      <c r="J16" s="5">
        <v>0</v>
      </c>
      <c r="K16">
        <v>0.127573931</v>
      </c>
      <c r="L16">
        <v>4.9037383099999998E-2</v>
      </c>
      <c r="M16">
        <v>3.01052217E-2</v>
      </c>
      <c r="N16">
        <v>9.6029618400000002E-3</v>
      </c>
      <c r="O16">
        <v>-12532.7912</v>
      </c>
      <c r="Q16">
        <v>-58512852.799999997</v>
      </c>
      <c r="S16">
        <v>-79843835.099999994</v>
      </c>
      <c r="T16">
        <v>4233.3923999999997</v>
      </c>
      <c r="V16">
        <v>63769.729399999997</v>
      </c>
      <c r="X16">
        <v>26213.0906</v>
      </c>
      <c r="Y16">
        <v>-281599973</v>
      </c>
      <c r="Z16">
        <v>-149605.666</v>
      </c>
      <c r="AA16">
        <v>-287753612</v>
      </c>
      <c r="AB16">
        <v>-168014.842</v>
      </c>
    </row>
    <row r="17" spans="1:28" x14ac:dyDescent="0.25">
      <c r="A17">
        <v>11</v>
      </c>
      <c r="B17">
        <v>1.1399999999999999</v>
      </c>
      <c r="C17">
        <v>6.3279615999999997E-2</v>
      </c>
      <c r="D17" s="5">
        <v>2.0219247900000001E-7</v>
      </c>
      <c r="E17" s="5">
        <v>7.6062885000000001E-7</v>
      </c>
      <c r="F17">
        <v>0</v>
      </c>
      <c r="G17">
        <v>7.0000000000000001E-3</v>
      </c>
      <c r="H17">
        <v>0</v>
      </c>
      <c r="I17" s="5">
        <v>8.9250356600000004E-3</v>
      </c>
      <c r="J17" s="5">
        <v>0</v>
      </c>
      <c r="K17">
        <v>0.133921545</v>
      </c>
      <c r="L17">
        <v>4.2729073399999998E-2</v>
      </c>
      <c r="M17">
        <v>3.64233573E-2</v>
      </c>
      <c r="N17">
        <v>9.5931358500000001E-3</v>
      </c>
      <c r="O17">
        <v>-12532.7912</v>
      </c>
      <c r="Q17">
        <v>-64253380.100000001</v>
      </c>
      <c r="S17">
        <v>-85377581.700000003</v>
      </c>
      <c r="T17">
        <v>4233.3923999999997</v>
      </c>
      <c r="V17">
        <v>60814.470300000001</v>
      </c>
      <c r="X17">
        <v>23342.947499999998</v>
      </c>
      <c r="Y17">
        <v>-281599973</v>
      </c>
      <c r="Z17">
        <v>-149605.666</v>
      </c>
      <c r="AA17">
        <v>-287753612</v>
      </c>
      <c r="AB17">
        <v>-168014.842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54"/>
  <sheetViews>
    <sheetView topLeftCell="CL4" zoomScale="85" zoomScaleNormal="85" workbookViewId="0">
      <selection activeCell="CV36" sqref="CV36"/>
    </sheetView>
  </sheetViews>
  <sheetFormatPr defaultRowHeight="15" x14ac:dyDescent="0.25"/>
  <cols>
    <col min="3" max="3" width="10.5703125" bestFit="1" customWidth="1"/>
    <col min="17" max="17" width="10" bestFit="1" customWidth="1"/>
    <col min="18" max="18" width="11.7109375" bestFit="1" customWidth="1"/>
    <col min="21" max="21" width="11" bestFit="1" customWidth="1"/>
    <col min="22" max="22" width="11.7109375" bestFit="1" customWidth="1"/>
    <col min="34" max="34" width="9.140625" style="18"/>
    <col min="37" max="37" width="11" bestFit="1" customWidth="1"/>
    <col min="44" max="44" width="9.140625" style="18"/>
    <col min="83" max="83" width="9.140625" style="24"/>
    <col min="89" max="89" width="16.42578125" customWidth="1"/>
    <col min="90" max="90" width="19.28515625" bestFit="1" customWidth="1"/>
    <col min="91" max="91" width="20.5703125" bestFit="1" customWidth="1"/>
  </cols>
  <sheetData>
    <row r="1" spans="1:93" x14ac:dyDescent="0.25">
      <c r="A1" t="s">
        <v>52</v>
      </c>
      <c r="B1" t="s">
        <v>53</v>
      </c>
      <c r="E1" s="34"/>
      <c r="F1" s="34"/>
      <c r="G1" s="33" t="s">
        <v>80</v>
      </c>
      <c r="H1" s="33"/>
      <c r="I1" s="33"/>
      <c r="J1" s="33"/>
      <c r="K1" s="33"/>
      <c r="L1" s="33"/>
      <c r="M1" s="33"/>
      <c r="N1" s="33"/>
    </row>
    <row r="2" spans="1:93" x14ac:dyDescent="0.25">
      <c r="C2" t="s">
        <v>42</v>
      </c>
      <c r="E2" t="s">
        <v>68</v>
      </c>
      <c r="F2" t="s">
        <v>69</v>
      </c>
      <c r="G2" s="9" t="s">
        <v>70</v>
      </c>
      <c r="H2" s="11" t="s">
        <v>72</v>
      </c>
      <c r="I2" s="11" t="s">
        <v>73</v>
      </c>
      <c r="J2" s="11" t="s">
        <v>74</v>
      </c>
      <c r="K2" s="11" t="s">
        <v>75</v>
      </c>
      <c r="L2" s="11" t="s">
        <v>76</v>
      </c>
      <c r="M2" s="11" t="s">
        <v>77</v>
      </c>
      <c r="N2" s="11" t="s">
        <v>78</v>
      </c>
    </row>
    <row r="3" spans="1:93" x14ac:dyDescent="0.25">
      <c r="C3" t="s">
        <v>59</v>
      </c>
      <c r="E3" t="s">
        <v>64</v>
      </c>
      <c r="F3" t="s">
        <v>64</v>
      </c>
      <c r="G3" s="9" t="s">
        <v>64</v>
      </c>
      <c r="H3" s="11" t="s">
        <v>64</v>
      </c>
      <c r="I3" s="11" t="s">
        <v>64</v>
      </c>
      <c r="J3" s="11" t="s">
        <v>64</v>
      </c>
      <c r="K3" s="11" t="s">
        <v>64</v>
      </c>
      <c r="L3" s="11" t="s">
        <v>64</v>
      </c>
      <c r="M3" s="11" t="s">
        <v>64</v>
      </c>
      <c r="N3" s="11" t="s">
        <v>64</v>
      </c>
    </row>
    <row r="4" spans="1:93" x14ac:dyDescent="0.25">
      <c r="A4">
        <v>1</v>
      </c>
      <c r="B4" t="s">
        <v>61</v>
      </c>
      <c r="C4" s="5">
        <v>0</v>
      </c>
      <c r="E4" s="5">
        <f>'ASPEN Ex air'!D7</f>
        <v>7.2789292499999999E-6</v>
      </c>
      <c r="F4" s="5">
        <f>'ASPEN Ex air'!E7</f>
        <v>2.7382638600000001E-5</v>
      </c>
      <c r="G4" s="5">
        <f>'ASPEN Ex air'!F7</f>
        <v>1.7581711799999999E-3</v>
      </c>
      <c r="H4">
        <f>'ASPEN Ex air'!H7</f>
        <v>0</v>
      </c>
      <c r="I4">
        <f>'ASPEN Ex air'!I7</f>
        <v>8.0725720700000007E-3</v>
      </c>
      <c r="J4">
        <f>'ASPEN Ex air'!J7</f>
        <v>0</v>
      </c>
      <c r="K4">
        <f>'ASPEN Ex air'!K7</f>
        <v>3.8936366600000001E-2</v>
      </c>
      <c r="L4">
        <f>'ASPEN Ex air'!L7</f>
        <v>5.2309995499999998E-2</v>
      </c>
      <c r="M4">
        <f>'ASPEN Ex air'!M7</f>
        <v>5.0104511300000002E-8</v>
      </c>
      <c r="N4">
        <f>'ASPEN Ex air'!N7</f>
        <v>2.23687729E-2</v>
      </c>
    </row>
    <row r="5" spans="1:93" x14ac:dyDescent="0.25">
      <c r="A5">
        <v>2</v>
      </c>
      <c r="B5" t="s">
        <v>62</v>
      </c>
      <c r="C5" s="5">
        <v>0.1</v>
      </c>
      <c r="E5" s="5">
        <f>'ASPEN Ex air'!D8</f>
        <v>7.3444396100000005E-4</v>
      </c>
      <c r="F5" s="5">
        <f>'ASPEN Ex air'!E8</f>
        <v>2.7629082300000001E-3</v>
      </c>
      <c r="G5" s="5">
        <f>'ASPEN Ex air'!F8</f>
        <v>1.62109895E-3</v>
      </c>
      <c r="H5">
        <f>'ASPEN Ex air'!H8</f>
        <v>0</v>
      </c>
      <c r="I5">
        <f>'ASPEN Ex air'!I8</f>
        <v>1.08766338E-2</v>
      </c>
      <c r="J5">
        <f>'ASPEN Ex air'!J8</f>
        <v>0</v>
      </c>
      <c r="K5">
        <f>'ASPEN Ex air'!K8</f>
        <v>4.0131405299999999E-2</v>
      </c>
      <c r="L5">
        <f>'ASPEN Ex air'!L8</f>
        <v>5.3764353399999999E-2</v>
      </c>
      <c r="M5">
        <f>'ASPEN Ex air'!M8</f>
        <v>5.1581250899999999E-8</v>
      </c>
      <c r="N5">
        <f>'ASPEN Ex air'!N8</f>
        <v>2.2011176100000002E-2</v>
      </c>
    </row>
    <row r="6" spans="1:93" x14ac:dyDescent="0.25">
      <c r="A6">
        <v>3</v>
      </c>
      <c r="B6" t="s">
        <v>62</v>
      </c>
      <c r="C6" s="5">
        <v>0.2</v>
      </c>
      <c r="E6" s="5">
        <f>'ASPEN Ex air'!D9</f>
        <v>1.46160899E-3</v>
      </c>
      <c r="F6" s="5">
        <f>'ASPEN Ex air'!E9</f>
        <v>5.4984338299999998E-3</v>
      </c>
      <c r="G6" s="5">
        <f>'ASPEN Ex air'!F9</f>
        <v>1.4812873500000001E-3</v>
      </c>
      <c r="H6">
        <f>'ASPEN Ex air'!H9</f>
        <v>0</v>
      </c>
      <c r="I6">
        <f>'ASPEN Ex air'!I9</f>
        <v>1.3682065199999999E-2</v>
      </c>
      <c r="J6">
        <f>'ASPEN Ex air'!J9</f>
        <v>0</v>
      </c>
      <c r="K6">
        <f>'ASPEN Ex air'!K9</f>
        <v>4.1292249199999999E-2</v>
      </c>
      <c r="L6">
        <f>'ASPEN Ex air'!L9</f>
        <v>5.5218704899999999E-2</v>
      </c>
      <c r="M6">
        <f>'ASPEN Ex air'!M9</f>
        <v>5.2879377099999999E-8</v>
      </c>
      <c r="N6">
        <f>'ASPEN Ex air'!N9</f>
        <v>2.1675460600000002E-2</v>
      </c>
    </row>
    <row r="7" spans="1:93" x14ac:dyDescent="0.25">
      <c r="A7">
        <v>4</v>
      </c>
      <c r="B7" t="s">
        <v>62</v>
      </c>
      <c r="C7" s="5">
        <v>0.3</v>
      </c>
      <c r="E7" s="5">
        <f>'ASPEN Ex air'!D10</f>
        <v>2.18877402E-3</v>
      </c>
      <c r="F7" s="5">
        <f>'ASPEN Ex air'!E10</f>
        <v>8.2339594299999999E-3</v>
      </c>
      <c r="G7" s="5">
        <f>'ASPEN Ex air'!F10</f>
        <v>1.34016899E-3</v>
      </c>
      <c r="H7">
        <f>'ASPEN Ex air'!H10</f>
        <v>0</v>
      </c>
      <c r="I7">
        <f>'ASPEN Ex air'!I10</f>
        <v>1.648815E-2</v>
      </c>
      <c r="J7">
        <f>'ASPEN Ex air'!J10</f>
        <v>0</v>
      </c>
      <c r="K7">
        <f>'ASPEN Ex air'!K10</f>
        <v>4.2436786800000001E-2</v>
      </c>
      <c r="L7">
        <f>'ASPEN Ex air'!L10</f>
        <v>5.6673052600000003E-2</v>
      </c>
      <c r="M7">
        <f>'ASPEN Ex air'!M10</f>
        <v>5.4116893000000003E-8</v>
      </c>
      <c r="N7">
        <f>'ASPEN Ex air'!N10</f>
        <v>2.1350179E-2</v>
      </c>
    </row>
    <row r="8" spans="1:93" x14ac:dyDescent="0.25">
      <c r="A8">
        <v>5</v>
      </c>
      <c r="B8" t="s">
        <v>62</v>
      </c>
      <c r="C8" s="5">
        <v>0.4</v>
      </c>
      <c r="E8" s="5">
        <f>'ASPEN Ex air'!D11</f>
        <v>2.91593906E-3</v>
      </c>
      <c r="F8" s="5">
        <f>'ASPEN Ex air'!E11</f>
        <v>1.0969484999999999E-2</v>
      </c>
      <c r="G8" s="5">
        <f>'ASPEN Ex air'!F11</f>
        <v>1.19863191E-3</v>
      </c>
      <c r="H8">
        <f>'ASPEN Ex air'!H11</f>
        <v>0</v>
      </c>
      <c r="I8">
        <f>'ASPEN Ex air'!I11</f>
        <v>1.9294444099999999E-2</v>
      </c>
      <c r="J8">
        <f>'ASPEN Ex air'!J11</f>
        <v>0</v>
      </c>
      <c r="K8">
        <f>'ASPEN Ex air'!K11</f>
        <v>4.3576108400000001E-2</v>
      </c>
      <c r="L8">
        <f>'ASPEN Ex air'!L11</f>
        <v>5.81273977E-2</v>
      </c>
      <c r="M8">
        <f>'ASPEN Ex air'!M11</f>
        <v>5.5369620700000002E-8</v>
      </c>
      <c r="N8">
        <f>'ASPEN Ex air'!N11</f>
        <v>2.1028234400000002E-2</v>
      </c>
    </row>
    <row r="9" spans="1:93" x14ac:dyDescent="0.25">
      <c r="A9">
        <v>6</v>
      </c>
      <c r="B9" t="s">
        <v>62</v>
      </c>
      <c r="C9" s="5">
        <v>0.5</v>
      </c>
      <c r="E9" s="5">
        <f>'ASPEN Ex air'!D12</f>
        <v>3.6431040899999999E-3</v>
      </c>
      <c r="F9" s="5">
        <f>'ASPEN Ex air'!E12</f>
        <v>1.3705010599999999E-2</v>
      </c>
      <c r="G9" s="5">
        <f>'ASPEN Ex air'!F12</f>
        <v>1.0573639000000001E-3</v>
      </c>
      <c r="H9">
        <f>'ASPEN Ex air'!H12</f>
        <v>0</v>
      </c>
      <c r="I9">
        <f>'ASPEN Ex air'!I12</f>
        <v>2.2100603699999999E-2</v>
      </c>
      <c r="J9">
        <f>'ASPEN Ex air'!J12</f>
        <v>0</v>
      </c>
      <c r="K9">
        <f>'ASPEN Ex air'!K12</f>
        <v>4.4718805799999997E-2</v>
      </c>
      <c r="L9">
        <f>'ASPEN Ex air'!L12</f>
        <v>5.9581740799999998E-2</v>
      </c>
      <c r="M9">
        <f>'ASPEN Ex air'!M12</f>
        <v>5.6699541199999998E-8</v>
      </c>
      <c r="N9">
        <f>'ASPEN Ex air'!N12</f>
        <v>2.0704128200000001E-2</v>
      </c>
    </row>
    <row r="10" spans="1:93" x14ac:dyDescent="0.25">
      <c r="A10">
        <v>7</v>
      </c>
      <c r="B10" t="s">
        <v>62</v>
      </c>
      <c r="C10" s="5">
        <v>0.6</v>
      </c>
      <c r="E10" s="5">
        <f>'ASPEN Ex air'!D13</f>
        <v>4.3702691199999999E-3</v>
      </c>
      <c r="F10" s="5">
        <f>'ASPEN Ex air'!E13</f>
        <v>1.6440536200000001E-2</v>
      </c>
      <c r="G10" s="5">
        <f>'ASPEN Ex air'!F13</f>
        <v>9.1701158199999997E-4</v>
      </c>
      <c r="H10">
        <f>'ASPEN Ex air'!H13</f>
        <v>0</v>
      </c>
      <c r="I10">
        <f>'ASPEN Ex air'!I13</f>
        <v>2.49063055E-2</v>
      </c>
      <c r="J10">
        <f>'ASPEN Ex air'!J13</f>
        <v>0</v>
      </c>
      <c r="K10">
        <f>'ASPEN Ex air'!K13</f>
        <v>4.58729581E-2</v>
      </c>
      <c r="L10">
        <f>'ASPEN Ex air'!L13</f>
        <v>6.1036082300000002E-2</v>
      </c>
      <c r="M10">
        <f>'ASPEN Ex air'!M13</f>
        <v>5.8169465700000001E-8</v>
      </c>
      <c r="N10">
        <f>'ASPEN Ex air'!N13</f>
        <v>2.0372690299999999E-2</v>
      </c>
      <c r="AT10" s="4" t="s">
        <v>6</v>
      </c>
    </row>
    <row r="11" spans="1:93" x14ac:dyDescent="0.25">
      <c r="A11">
        <v>8</v>
      </c>
      <c r="B11" t="s">
        <v>62</v>
      </c>
      <c r="C11" s="5">
        <v>0.7</v>
      </c>
      <c r="E11" s="5">
        <f>'ASPEN Ex air'!D14</f>
        <v>5.0974341499999999E-3</v>
      </c>
      <c r="F11" s="5">
        <f>'ASPEN Ex air'!E14</f>
        <v>1.9176061800000001E-2</v>
      </c>
      <c r="G11" s="5">
        <f>'ASPEN Ex air'!F14</f>
        <v>7.7829703300000004E-4</v>
      </c>
      <c r="H11">
        <f>'ASPEN Ex air'!H14</f>
        <v>0</v>
      </c>
      <c r="I11">
        <f>'ASPEN Ex air'!I14</f>
        <v>2.7711188300000002E-2</v>
      </c>
      <c r="J11">
        <f>'ASPEN Ex air'!J14</f>
        <v>0</v>
      </c>
      <c r="K11">
        <f>'ASPEN Ex air'!K14</f>
        <v>4.7047588299999998E-2</v>
      </c>
      <c r="L11">
        <f>'ASPEN Ex air'!L14</f>
        <v>6.2490422599999998E-2</v>
      </c>
      <c r="M11">
        <f>'ASPEN Ex air'!M14</f>
        <v>5.98544367E-8</v>
      </c>
      <c r="N11">
        <f>'ASPEN Ex air'!N14</f>
        <v>2.0028145899999999E-2</v>
      </c>
      <c r="AT11" s="4" t="s">
        <v>16</v>
      </c>
      <c r="AU11" s="4" t="s">
        <v>11</v>
      </c>
      <c r="AV11" s="4" t="s">
        <v>51</v>
      </c>
      <c r="AW11" s="4" t="s">
        <v>10</v>
      </c>
      <c r="AX11" s="4" t="s">
        <v>11</v>
      </c>
      <c r="AY11" s="4" t="s">
        <v>16</v>
      </c>
      <c r="AZ11" s="4" t="s">
        <v>12</v>
      </c>
      <c r="BA11" s="4" t="s">
        <v>13</v>
      </c>
      <c r="BB11" s="4" t="s">
        <v>14</v>
      </c>
      <c r="BC11" s="4" t="s">
        <v>15</v>
      </c>
    </row>
    <row r="12" spans="1:93" x14ac:dyDescent="0.25">
      <c r="A12">
        <v>9</v>
      </c>
      <c r="B12" t="s">
        <v>62</v>
      </c>
      <c r="C12" s="5">
        <v>0.8</v>
      </c>
      <c r="E12" s="5">
        <f>'ASPEN Ex air'!D15</f>
        <v>5.8245991799999999E-3</v>
      </c>
      <c r="F12" s="5">
        <f>'ASPEN Ex air'!E15</f>
        <v>2.1911587400000002E-2</v>
      </c>
      <c r="G12" s="5">
        <f>'ASPEN Ex air'!F15</f>
        <v>6.4213265200000001E-4</v>
      </c>
      <c r="H12">
        <f>'ASPEN Ex air'!H15</f>
        <v>0</v>
      </c>
      <c r="I12">
        <f>'ASPEN Ex air'!I15</f>
        <v>3.0514796100000002E-2</v>
      </c>
      <c r="J12">
        <f>'ASPEN Ex air'!J15</f>
        <v>0</v>
      </c>
      <c r="K12">
        <f>'ASPEN Ex air'!K15</f>
        <v>4.82540994E-2</v>
      </c>
      <c r="L12">
        <f>'ASPEN Ex air'!L15</f>
        <v>6.3944761500000002E-2</v>
      </c>
      <c r="M12">
        <f>'ASPEN Ex air'!M15</f>
        <v>6.1856664199999998E-8</v>
      </c>
      <c r="N12">
        <f>'ASPEN Ex air'!N15</f>
        <v>1.9663197399999999E-2</v>
      </c>
      <c r="AT12" s="4">
        <v>3.97</v>
      </c>
      <c r="AU12" s="4">
        <v>0.72</v>
      </c>
      <c r="AV12" s="20">
        <f>'Ch-exr of indole'!E21</f>
        <v>4458.1845000000003</v>
      </c>
      <c r="AW12" s="4">
        <v>9.5</v>
      </c>
      <c r="AX12" s="4">
        <v>0.72</v>
      </c>
      <c r="AY12" s="4">
        <v>3.97</v>
      </c>
      <c r="AZ12" s="4">
        <v>236.1</v>
      </c>
      <c r="BA12" s="4">
        <v>275.01</v>
      </c>
      <c r="BB12" s="4">
        <v>19.809999999999999</v>
      </c>
      <c r="BC12" s="4">
        <v>831.65</v>
      </c>
    </row>
    <row r="13" spans="1:93" x14ac:dyDescent="0.25">
      <c r="A13">
        <v>10</v>
      </c>
      <c r="B13" t="s">
        <v>62</v>
      </c>
      <c r="C13" s="5">
        <v>0.9</v>
      </c>
      <c r="E13" s="5">
        <f>'ASPEN Ex air'!D16</f>
        <v>6.5517642199999998E-3</v>
      </c>
      <c r="F13" s="5">
        <f>'ASPEN Ex air'!E16</f>
        <v>2.4647112999999998E-2</v>
      </c>
      <c r="G13" s="5">
        <f>'ASPEN Ex air'!F16</f>
        <v>5.0979494499999996E-4</v>
      </c>
      <c r="H13">
        <f>'ASPEN Ex air'!H16</f>
        <v>0</v>
      </c>
      <c r="I13">
        <f>'ASPEN Ex air'!I16</f>
        <v>3.3316490599999998E-2</v>
      </c>
      <c r="J13">
        <f>'ASPEN Ex air'!J16</f>
        <v>0</v>
      </c>
      <c r="K13">
        <f>'ASPEN Ex air'!K16</f>
        <v>4.9508445900000003E-2</v>
      </c>
      <c r="L13">
        <f>'ASPEN Ex air'!L16</f>
        <v>6.5399099099999997E-2</v>
      </c>
      <c r="M13">
        <f>'ASPEN Ex air'!M16</f>
        <v>6.4329426300000002E-8</v>
      </c>
      <c r="N13">
        <f>'ASPEN Ex air'!N16</f>
        <v>1.9267633900000001E-2</v>
      </c>
      <c r="BE13" s="4" t="s">
        <v>6</v>
      </c>
      <c r="CK13" t="s">
        <v>114</v>
      </c>
    </row>
    <row r="14" spans="1:93" x14ac:dyDescent="0.25">
      <c r="A14">
        <v>11</v>
      </c>
      <c r="B14" t="s">
        <v>62</v>
      </c>
      <c r="C14" s="5">
        <v>1</v>
      </c>
      <c r="E14" s="5">
        <f>'ASPEN Ex air'!D17</f>
        <v>7.2789292499999998E-3</v>
      </c>
      <c r="F14" s="5">
        <f>'ASPEN Ex air'!E17</f>
        <v>2.7382638599999998E-2</v>
      </c>
      <c r="G14" s="5">
        <f>'ASPEN Ex air'!F17</f>
        <v>3.8321727099999999E-4</v>
      </c>
      <c r="H14">
        <f>'ASPEN Ex air'!H17</f>
        <v>0</v>
      </c>
      <c r="I14">
        <f>'ASPEN Ex air'!I17</f>
        <v>3.6115305E-2</v>
      </c>
      <c r="J14">
        <f>'ASPEN Ex air'!J17</f>
        <v>0</v>
      </c>
      <c r="K14">
        <f>'ASPEN Ex air'!K17</f>
        <v>5.0834793099999998E-2</v>
      </c>
      <c r="L14">
        <f>'ASPEN Ex air'!L17</f>
        <v>6.6853435000000003E-2</v>
      </c>
      <c r="M14">
        <f>'ASPEN Ex air'!M17</f>
        <v>6.7522857400000006E-8</v>
      </c>
      <c r="N14">
        <f>'ASPEN Ex air'!N17</f>
        <v>1.8825989500000001E-2</v>
      </c>
      <c r="AT14" t="s">
        <v>106</v>
      </c>
      <c r="BE14" t="s">
        <v>107</v>
      </c>
      <c r="BI14" s="21" t="s">
        <v>63</v>
      </c>
      <c r="BT14" s="22" t="s">
        <v>8</v>
      </c>
      <c r="BX14" t="s">
        <v>7</v>
      </c>
      <c r="BY14" t="s">
        <v>108</v>
      </c>
      <c r="CA14" s="23" t="s">
        <v>9</v>
      </c>
      <c r="CG14" t="s">
        <v>110</v>
      </c>
      <c r="CK14" t="s">
        <v>110</v>
      </c>
      <c r="CO14" t="s">
        <v>65</v>
      </c>
    </row>
    <row r="15" spans="1:93" x14ac:dyDescent="0.25">
      <c r="P15" s="16" t="s">
        <v>1</v>
      </c>
      <c r="Q15" s="16"/>
      <c r="R15" s="16"/>
      <c r="T15" s="16" t="s">
        <v>2</v>
      </c>
      <c r="U15" s="16"/>
      <c r="V15" s="16"/>
      <c r="X15" s="17" t="s">
        <v>3</v>
      </c>
      <c r="Z15" s="16" t="s">
        <v>4</v>
      </c>
      <c r="AA15" s="16"/>
      <c r="AB15" s="16"/>
      <c r="AD15" s="16" t="s">
        <v>5</v>
      </c>
      <c r="AE15" s="16"/>
      <c r="AF15" s="16"/>
      <c r="AJ15" s="25" t="s">
        <v>0</v>
      </c>
      <c r="AK15" s="25"/>
      <c r="AL15" s="25"/>
      <c r="AN15" s="25" t="s">
        <v>0</v>
      </c>
      <c r="AO15" s="25"/>
      <c r="AP15" s="25"/>
      <c r="AT15" s="32" t="s">
        <v>99</v>
      </c>
      <c r="AU15" s="32"/>
      <c r="AV15" s="19" t="s">
        <v>103</v>
      </c>
      <c r="AW15" s="32" t="s">
        <v>105</v>
      </c>
      <c r="AX15" s="32"/>
      <c r="AY15" s="32"/>
      <c r="AZ15" s="32"/>
      <c r="BA15" s="32"/>
      <c r="BB15" s="32"/>
      <c r="BC15" s="32"/>
      <c r="BE15" s="19" t="s">
        <v>99</v>
      </c>
      <c r="BF15" s="19" t="s">
        <v>100</v>
      </c>
      <c r="BG15" s="19" t="s">
        <v>101</v>
      </c>
      <c r="BI15" s="32" t="s">
        <v>99</v>
      </c>
      <c r="BJ15" s="32"/>
      <c r="BK15" s="19" t="s">
        <v>103</v>
      </c>
      <c r="BL15" s="32" t="s">
        <v>105</v>
      </c>
      <c r="BM15" s="32"/>
      <c r="BN15" s="32"/>
      <c r="BO15" s="32"/>
      <c r="BP15" s="32"/>
      <c r="BQ15" s="32"/>
      <c r="BR15" s="32"/>
      <c r="BT15" s="19" t="s">
        <v>99</v>
      </c>
      <c r="BU15" s="19" t="s">
        <v>100</v>
      </c>
      <c r="BV15" s="19" t="s">
        <v>101</v>
      </c>
      <c r="BX15" s="4" t="s">
        <v>109</v>
      </c>
      <c r="BY15" s="8" t="s">
        <v>60</v>
      </c>
      <c r="CA15" s="19" t="s">
        <v>99</v>
      </c>
      <c r="CB15" s="19" t="s">
        <v>100</v>
      </c>
      <c r="CC15" s="19" t="s">
        <v>101</v>
      </c>
      <c r="CG15" t="s">
        <v>36</v>
      </c>
      <c r="CK15" t="s">
        <v>38</v>
      </c>
      <c r="CO15" t="s">
        <v>38</v>
      </c>
    </row>
    <row r="16" spans="1:93" x14ac:dyDescent="0.25">
      <c r="E16" t="s">
        <v>68</v>
      </c>
      <c r="F16" t="s">
        <v>69</v>
      </c>
      <c r="G16" s="9" t="s">
        <v>70</v>
      </c>
      <c r="H16" s="11" t="s">
        <v>72</v>
      </c>
      <c r="I16" s="11" t="s">
        <v>73</v>
      </c>
      <c r="J16" s="11" t="s">
        <v>74</v>
      </c>
      <c r="K16" s="11" t="s">
        <v>75</v>
      </c>
      <c r="L16" s="11" t="s">
        <v>76</v>
      </c>
      <c r="M16" s="11" t="s">
        <v>77</v>
      </c>
      <c r="N16" s="11" t="s">
        <v>78</v>
      </c>
      <c r="P16" t="s">
        <v>81</v>
      </c>
      <c r="Q16" t="s">
        <v>82</v>
      </c>
      <c r="R16" t="s">
        <v>83</v>
      </c>
      <c r="T16" t="s">
        <v>96</v>
      </c>
      <c r="U16" t="s">
        <v>84</v>
      </c>
      <c r="V16" t="s">
        <v>85</v>
      </c>
      <c r="Z16" t="s">
        <v>55</v>
      </c>
      <c r="AA16" t="s">
        <v>86</v>
      </c>
      <c r="AB16" t="s">
        <v>87</v>
      </c>
      <c r="AD16" t="s">
        <v>97</v>
      </c>
      <c r="AE16" t="s">
        <v>88</v>
      </c>
      <c r="AF16" t="s">
        <v>89</v>
      </c>
      <c r="AJ16" s="31"/>
      <c r="AK16" s="31"/>
      <c r="AL16" s="31"/>
      <c r="AN16" s="31"/>
      <c r="AO16" s="31"/>
      <c r="AP16" s="31"/>
      <c r="AT16" t="s">
        <v>45</v>
      </c>
      <c r="AU16" t="s">
        <v>44</v>
      </c>
      <c r="AV16" t="s">
        <v>104</v>
      </c>
      <c r="AW16" t="s">
        <v>43</v>
      </c>
      <c r="AX16" t="s">
        <v>44</v>
      </c>
      <c r="AY16" t="s">
        <v>45</v>
      </c>
      <c r="AZ16" t="s">
        <v>46</v>
      </c>
      <c r="BA16" t="s">
        <v>47</v>
      </c>
      <c r="BB16" t="s">
        <v>48</v>
      </c>
      <c r="BC16" t="s">
        <v>49</v>
      </c>
      <c r="CG16" s="19" t="s">
        <v>99</v>
      </c>
      <c r="CH16" s="19" t="s">
        <v>100</v>
      </c>
      <c r="CI16" s="19" t="s">
        <v>101</v>
      </c>
      <c r="CK16" s="19" t="s">
        <v>99</v>
      </c>
      <c r="CL16" s="19" t="s">
        <v>100</v>
      </c>
      <c r="CM16" s="19" t="s">
        <v>101</v>
      </c>
    </row>
    <row r="17" spans="5:99" x14ac:dyDescent="0.25">
      <c r="P17" t="s">
        <v>90</v>
      </c>
      <c r="Q17" t="s">
        <v>90</v>
      </c>
      <c r="R17" t="s">
        <v>90</v>
      </c>
      <c r="T17" t="s">
        <v>90</v>
      </c>
      <c r="U17" t="s">
        <v>90</v>
      </c>
      <c r="V17" t="s">
        <v>90</v>
      </c>
      <c r="X17" t="s">
        <v>60</v>
      </c>
      <c r="Z17" t="s">
        <v>91</v>
      </c>
      <c r="AA17" t="s">
        <v>91</v>
      </c>
      <c r="AB17" t="s">
        <v>91</v>
      </c>
      <c r="AD17" t="s">
        <v>91</v>
      </c>
      <c r="AE17" t="s">
        <v>91</v>
      </c>
      <c r="AF17" t="s">
        <v>91</v>
      </c>
      <c r="AJ17" t="s">
        <v>99</v>
      </c>
      <c r="AK17" t="s">
        <v>100</v>
      </c>
      <c r="AL17" t="s">
        <v>101</v>
      </c>
      <c r="AN17" t="s">
        <v>99</v>
      </c>
      <c r="AO17" t="s">
        <v>100</v>
      </c>
      <c r="AP17" t="s">
        <v>101</v>
      </c>
      <c r="CQ17" t="s">
        <v>115</v>
      </c>
      <c r="CS17" t="s">
        <v>121</v>
      </c>
      <c r="CT17" t="s">
        <v>120</v>
      </c>
      <c r="CU17" t="s">
        <v>122</v>
      </c>
    </row>
    <row r="18" spans="5:99" x14ac:dyDescent="0.25">
      <c r="E18" s="12">
        <f>E4/(E4+F4)</f>
        <v>0.2100000000432756</v>
      </c>
      <c r="F18" s="12">
        <f>F4/(E4+F4)</f>
        <v>0.78999999995672443</v>
      </c>
      <c r="G18" s="14">
        <f>G4/G4</f>
        <v>1</v>
      </c>
      <c r="H18" s="14">
        <f>H4/($H$4+$I$4+$J$4+$K$4+$L$4+$M$4+$N$4)</f>
        <v>0</v>
      </c>
      <c r="I18" s="14">
        <f t="shared" ref="I18:N18" si="0">I4/($H$4+$I$4+$J$4+$K$4+$L$4+$M$4+$N$4)</f>
        <v>6.6338407884559816E-2</v>
      </c>
      <c r="J18" s="14">
        <f t="shared" si="0"/>
        <v>0</v>
      </c>
      <c r="K18" s="14">
        <f t="shared" si="0"/>
        <v>0.31996946532724496</v>
      </c>
      <c r="L18" s="14">
        <f t="shared" si="0"/>
        <v>0.42987065186009393</v>
      </c>
      <c r="M18" s="14">
        <f t="shared" si="0"/>
        <v>4.1174652621911325E-7</v>
      </c>
      <c r="N18" s="14">
        <f t="shared" si="0"/>
        <v>0.18382106318157501</v>
      </c>
      <c r="O18" s="15">
        <f>SUM(H18:N18)</f>
        <v>0.99999999999999989</v>
      </c>
      <c r="P18">
        <f>'ASPEN Ex air'!O7</f>
        <v>-12532.7912</v>
      </c>
      <c r="Q18">
        <f>'ASPEN Ex air'!P7</f>
        <v>451151988</v>
      </c>
      <c r="R18">
        <f>'ASPEN Ex air'!Q7</f>
        <v>-18432214.199999999</v>
      </c>
      <c r="T18">
        <f>P18</f>
        <v>-12532.7912</v>
      </c>
      <c r="U18">
        <f>'ASPEN Ex air'!R7</f>
        <v>95447558.5</v>
      </c>
      <c r="V18">
        <f>'ASPEN Ex air'!S7</f>
        <v>-61221989.899999999</v>
      </c>
      <c r="X18">
        <v>298</v>
      </c>
      <c r="Z18">
        <f>'ASPEN Ex air'!T7</f>
        <v>4233.3923999999997</v>
      </c>
      <c r="AA18">
        <f>'ASPEN Ex air'!U7</f>
        <v>93588.088099999994</v>
      </c>
      <c r="AB18">
        <f>'ASPEN Ex air'!V7</f>
        <v>89843.080799999996</v>
      </c>
      <c r="AD18">
        <f>Z18</f>
        <v>4233.3923999999997</v>
      </c>
      <c r="AE18">
        <f>'ASPEN Ex air'!W7</f>
        <v>-393625.55800000002</v>
      </c>
      <c r="AF18">
        <f>'ASPEN Ex air'!X7</f>
        <v>33667.275999999998</v>
      </c>
      <c r="AJ18">
        <f t="shared" ref="AJ18:AJ28" si="1">(P18-T18)-X18*(Z18-AD18)</f>
        <v>0</v>
      </c>
      <c r="AK18">
        <f t="shared" ref="AK18:AK28" si="2">(Q18-U18)-X18*(AA18-AE18)</f>
        <v>210514762.96219999</v>
      </c>
      <c r="AL18">
        <f t="shared" ref="AL18:AL28" si="3">(R18-V18)-X18*(AB18-AF18)</f>
        <v>26049385.869600005</v>
      </c>
      <c r="AN18">
        <f t="shared" ref="AN18:AN28" si="4">AJ18/1000000</f>
        <v>0</v>
      </c>
      <c r="AO18">
        <f t="shared" ref="AO18:AO28" si="5">AK18/1000000</f>
        <v>210.5147629622</v>
      </c>
      <c r="AP18">
        <f t="shared" ref="AP18:AP28" si="6">AL18/1000000</f>
        <v>26.049385869600005</v>
      </c>
      <c r="AT18">
        <f t="shared" ref="AT18:AT28" si="7">E18*$AT$12</f>
        <v>0.83370000017180412</v>
      </c>
      <c r="AU18">
        <f t="shared" ref="AU18:AU28" si="8">F18*$AU$12</f>
        <v>0.56879999996884156</v>
      </c>
      <c r="AV18">
        <f t="shared" ref="AV18:AV28" si="9">G18*$AV$12</f>
        <v>4458.1845000000003</v>
      </c>
      <c r="AW18">
        <f t="shared" ref="AW18:AW28" si="10">H18*$AW$12</f>
        <v>0</v>
      </c>
      <c r="AX18">
        <f t="shared" ref="AX18:AX28" si="11">I18*$AX$12</f>
        <v>4.7763653676883067E-2</v>
      </c>
      <c r="AY18">
        <f t="shared" ref="AY18:AY28" si="12">J18*$AY$12</f>
        <v>0</v>
      </c>
      <c r="AZ18">
        <f t="shared" ref="AZ18:AZ28" si="13">K18*$AZ$12</f>
        <v>75.544790763762535</v>
      </c>
      <c r="BA18">
        <f t="shared" ref="BA18:BA28" si="14">L18*$BA$12</f>
        <v>118.21872796804443</v>
      </c>
      <c r="BB18">
        <f t="shared" ref="BB18:BB28" si="15">M18*$BB$12</f>
        <v>8.1566986844006331E-6</v>
      </c>
      <c r="BC18">
        <f t="shared" ref="BC18:BC28" si="16">N18*$BC$12</f>
        <v>152.87478719495687</v>
      </c>
      <c r="BE18">
        <f t="shared" ref="BE18:BE28" si="17">AT18+AU18</f>
        <v>1.4025000001406456</v>
      </c>
      <c r="BF18">
        <f t="shared" ref="BF18:BF28" si="18">AV18</f>
        <v>4458.1845000000003</v>
      </c>
      <c r="BG18">
        <f t="shared" ref="BG18:BG28" si="19">SUM(AW18:BC18)</f>
        <v>346.68607773713939</v>
      </c>
      <c r="BI18" s="15">
        <f>E18*LN(E18)</f>
        <v>-0.32773602715984274</v>
      </c>
      <c r="BJ18" s="15">
        <f>F18*LN(F18)</f>
        <v>-0.18622064351471976</v>
      </c>
      <c r="BK18" s="15">
        <f>G18*LN(G18)</f>
        <v>0</v>
      </c>
      <c r="BL18" s="15"/>
      <c r="BM18" s="15">
        <f t="shared" ref="BM18:BM28" si="20">I18*LN(I18)</f>
        <v>-0.17997518811128627</v>
      </c>
      <c r="BN18" s="15"/>
      <c r="BO18" s="15">
        <f t="shared" ref="BO18:BO28" si="21">K18*LN(K18)</f>
        <v>-0.36461471158320014</v>
      </c>
      <c r="BP18" s="15">
        <f t="shared" ref="BP18:BP28" si="22">L18*LN(L18)</f>
        <v>-0.36292729295129061</v>
      </c>
      <c r="BQ18" s="15">
        <f t="shared" ref="BQ18:BQ28" si="23">M18*LN(M18)</f>
        <v>-6.0538506676919273E-6</v>
      </c>
      <c r="BR18" s="15">
        <f t="shared" ref="BR18:BR28" si="24">N18*LN(N18)</f>
        <v>-0.31135473397706387</v>
      </c>
      <c r="BT18" s="15">
        <f t="shared" ref="BT18:BT28" si="25">BI18+BJ18</f>
        <v>-0.51395667067456252</v>
      </c>
      <c r="BU18" s="15">
        <f t="shared" ref="BU18:BU28" si="26">BK18</f>
        <v>0</v>
      </c>
      <c r="BV18" s="15">
        <f t="shared" ref="BV18:BV28" si="27">SUM(BL18:BR18)</f>
        <v>-1.2188779804735086</v>
      </c>
      <c r="BX18">
        <f>8.3144/1000</f>
        <v>8.3143999999999996E-3</v>
      </c>
      <c r="BY18">
        <v>298.14999999999998</v>
      </c>
      <c r="CA18">
        <f t="shared" ref="CA18:CA28" si="28">BE18+BX18*BY18*BT18</f>
        <v>0.1284330938275855</v>
      </c>
      <c r="CB18">
        <f t="shared" ref="CB18:CB28" si="29">BF18+BX18*BY18*BU18</f>
        <v>4458.1845000000003</v>
      </c>
      <c r="CC18">
        <f t="shared" ref="CC18:CC28" si="30">BG18+BX18*BY18*BV18</f>
        <v>343.66455435518429</v>
      </c>
      <c r="CG18">
        <f t="shared" ref="CG18:CG28" si="31">AN18+CA18</f>
        <v>0.1284330938275855</v>
      </c>
      <c r="CH18">
        <f t="shared" ref="CH18:CH28" si="32">AO18+CB18</f>
        <v>4668.6992629622</v>
      </c>
      <c r="CI18">
        <f t="shared" ref="CI18:CI28" si="33">AP18+CC18</f>
        <v>369.71394022478432</v>
      </c>
      <c r="CK18" s="27">
        <f t="shared" ref="CK18:CK28" si="34">CG18*(E4+F4)*1000</f>
        <v>4.4516923958902712E-3</v>
      </c>
      <c r="CL18" s="27">
        <f t="shared" ref="CL18:CL28" si="35">CH18*G4*1000</f>
        <v>8208.3724922273814</v>
      </c>
      <c r="CM18" s="27">
        <f t="shared" ref="CM18:CM28" si="36">CI18*SUM(H4:N4)*1000</f>
        <v>44989.660182105341</v>
      </c>
      <c r="CO18">
        <f>'Ch-exr of biomass'!$E$34</f>
        <v>63893.670989028738</v>
      </c>
      <c r="CQ18" s="3">
        <v>0</v>
      </c>
      <c r="CS18" s="13">
        <f>(CM18+CL18)/(CK18+CO18)</f>
        <v>0.832602480721092</v>
      </c>
      <c r="CT18" s="13">
        <f>(CH33+CI33)/(CG33+CO18)</f>
        <v>5.5404741606685314E-2</v>
      </c>
      <c r="CU18" s="13">
        <f>(CM33+CL33)/(CK33+CO18)</f>
        <v>0.77719774297464561</v>
      </c>
    </row>
    <row r="19" spans="5:99" x14ac:dyDescent="0.25">
      <c r="E19" s="12">
        <f t="shared" ref="E19:E28" si="37">E5/(E5+F5)</f>
        <v>0.21000000025447824</v>
      </c>
      <c r="F19" s="12">
        <f t="shared" ref="F19:F28" si="38">F5/(E5+F5)</f>
        <v>0.78999999974552171</v>
      </c>
      <c r="G19" s="14">
        <f t="shared" ref="G19:G28" si="39">G5/G5</f>
        <v>1</v>
      </c>
      <c r="H19" s="14">
        <f>H5/($H$5+$I$5+$J$5+$K$5+$L$5+$M$5+$N$5)</f>
        <v>0</v>
      </c>
      <c r="I19" s="14">
        <f t="shared" ref="I19:N19" si="40">I5/($H$5+$I$5+$J$5+$K$5+$L$5+$M$5+$N$5)</f>
        <v>8.5788951163018351E-2</v>
      </c>
      <c r="J19" s="14">
        <f t="shared" si="40"/>
        <v>0</v>
      </c>
      <c r="K19" s="14">
        <f t="shared" si="40"/>
        <v>0.31653462207994865</v>
      </c>
      <c r="L19" s="14">
        <f t="shared" si="40"/>
        <v>0.42406387609959428</v>
      </c>
      <c r="M19" s="14">
        <f t="shared" si="40"/>
        <v>4.0684475507371558E-7</v>
      </c>
      <c r="N19" s="14">
        <f t="shared" si="40"/>
        <v>0.17361214381268375</v>
      </c>
      <c r="O19" s="15">
        <f t="shared" ref="O19:O28" si="41">SUM(H19:N19)</f>
        <v>1</v>
      </c>
      <c r="P19">
        <f>'ASPEN Ex air'!O8</f>
        <v>-12532.7912</v>
      </c>
      <c r="Q19">
        <f>'ASPEN Ex air'!P8</f>
        <v>451672025</v>
      </c>
      <c r="R19">
        <f>'ASPEN Ex air'!Q8</f>
        <v>-17341305</v>
      </c>
      <c r="T19">
        <f t="shared" ref="T19:T28" si="42">P19</f>
        <v>-12532.7912</v>
      </c>
      <c r="U19">
        <f>'ASPEN Ex air'!R8</f>
        <v>95449510.599999994</v>
      </c>
      <c r="V19">
        <f>'ASPEN Ex air'!S8</f>
        <v>-59819341.299999997</v>
      </c>
      <c r="X19">
        <v>298</v>
      </c>
      <c r="Z19">
        <f>'ASPEN Ex air'!T8</f>
        <v>4233.3923999999997</v>
      </c>
      <c r="AA19">
        <f>'ASPEN Ex air'!U8</f>
        <v>93946.936600000001</v>
      </c>
      <c r="AB19">
        <f>'ASPEN Ex air'!V8</f>
        <v>89966.3269</v>
      </c>
      <c r="AD19">
        <f t="shared" ref="AD19:AD28" si="43">Z19</f>
        <v>4233.3923999999997</v>
      </c>
      <c r="AE19">
        <f>'ASPEN Ex air'!W8</f>
        <v>-393626.60499999998</v>
      </c>
      <c r="AF19">
        <f>'ASPEN Ex air'!X8</f>
        <v>34168.854599999999</v>
      </c>
      <c r="AJ19">
        <f t="shared" si="1"/>
        <v>0</v>
      </c>
      <c r="AK19">
        <f t="shared" si="2"/>
        <v>210925599.00319996</v>
      </c>
      <c r="AL19">
        <f t="shared" si="3"/>
        <v>25850389.554599997</v>
      </c>
      <c r="AN19">
        <f t="shared" si="4"/>
        <v>0</v>
      </c>
      <c r="AO19">
        <f t="shared" si="5"/>
        <v>210.92559900319998</v>
      </c>
      <c r="AP19">
        <f t="shared" si="6"/>
        <v>25.850389554599996</v>
      </c>
      <c r="AT19">
        <f t="shared" si="7"/>
        <v>0.83370000101027864</v>
      </c>
      <c r="AU19">
        <f t="shared" si="8"/>
        <v>0.56879999981677565</v>
      </c>
      <c r="AV19">
        <f t="shared" si="9"/>
        <v>4458.1845000000003</v>
      </c>
      <c r="AW19">
        <f t="shared" si="10"/>
        <v>0</v>
      </c>
      <c r="AX19">
        <f t="shared" si="11"/>
        <v>6.1768044837373214E-2</v>
      </c>
      <c r="AY19">
        <f t="shared" si="12"/>
        <v>0</v>
      </c>
      <c r="AZ19">
        <f t="shared" si="13"/>
        <v>74.733824273075868</v>
      </c>
      <c r="BA19">
        <f t="shared" si="14"/>
        <v>116.62180656614942</v>
      </c>
      <c r="BB19">
        <f t="shared" si="15"/>
        <v>8.0595945980103058E-6</v>
      </c>
      <c r="BC19">
        <f t="shared" si="16"/>
        <v>144.38453940181844</v>
      </c>
      <c r="BE19">
        <f t="shared" si="17"/>
        <v>1.4025000008270543</v>
      </c>
      <c r="BF19">
        <f t="shared" si="18"/>
        <v>4458.1845000000003</v>
      </c>
      <c r="BG19">
        <f t="shared" si="19"/>
        <v>335.8019463454757</v>
      </c>
      <c r="BI19" s="15">
        <f t="shared" ref="BI19:BI28" si="44">E19*LN(E19)</f>
        <v>-0.32773602727825302</v>
      </c>
      <c r="BJ19" s="15">
        <f t="shared" ref="BJ19:BJ28" si="45">F19*LN(F19)</f>
        <v>-0.18622064367613728</v>
      </c>
      <c r="BK19" s="15"/>
      <c r="BL19" s="15"/>
      <c r="BM19" s="15">
        <f t="shared" si="20"/>
        <v>-0.21068608727529253</v>
      </c>
      <c r="BN19" s="15"/>
      <c r="BO19" s="15">
        <f t="shared" si="21"/>
        <v>-0.36411694621286939</v>
      </c>
      <c r="BP19" s="15">
        <f t="shared" si="22"/>
        <v>-0.3637921794466864</v>
      </c>
      <c r="BQ19" s="15">
        <f t="shared" si="23"/>
        <v>-5.9866531003592821E-6</v>
      </c>
      <c r="BR19" s="15">
        <f t="shared" si="24"/>
        <v>-0.30398297596134383</v>
      </c>
      <c r="BT19" s="15">
        <f t="shared" si="25"/>
        <v>-0.51395667095439035</v>
      </c>
      <c r="BU19" s="15">
        <f t="shared" si="26"/>
        <v>0</v>
      </c>
      <c r="BV19" s="15">
        <f t="shared" si="27"/>
        <v>-1.2425841755492926</v>
      </c>
      <c r="BX19">
        <f t="shared" ref="BX19:BX28" si="46">8.3144/1000</f>
        <v>8.3143999999999996E-3</v>
      </c>
      <c r="BY19">
        <v>298.14999999999998</v>
      </c>
      <c r="CA19">
        <f t="shared" si="28"/>
        <v>0.1284330938203182</v>
      </c>
      <c r="CB19">
        <f t="shared" si="29"/>
        <v>4458.1845000000003</v>
      </c>
      <c r="CC19">
        <f t="shared" si="30"/>
        <v>332.72165676717759</v>
      </c>
      <c r="CG19">
        <f t="shared" si="31"/>
        <v>0.1284330938203182</v>
      </c>
      <c r="CH19">
        <f t="shared" si="32"/>
        <v>4669.1100990032</v>
      </c>
      <c r="CI19">
        <f t="shared" si="33"/>
        <v>358.57204632177758</v>
      </c>
      <c r="CK19" s="27">
        <f t="shared" si="34"/>
        <v>0.44917576206939841</v>
      </c>
      <c r="CL19" s="27">
        <f t="shared" si="35"/>
        <v>7569.0894789284839</v>
      </c>
      <c r="CM19" s="27">
        <f t="shared" si="36"/>
        <v>45461.06212847415</v>
      </c>
      <c r="CO19">
        <f>'Ch-exr of biomass'!$E$34</f>
        <v>63893.670989028738</v>
      </c>
      <c r="CQ19" s="3">
        <v>0.1</v>
      </c>
      <c r="CS19" s="13">
        <f t="shared" ref="CS19:CS28" si="47">(CM19+CL19)/(CK19+CO19)</f>
        <v>0.8299691970189329</v>
      </c>
      <c r="CT19" s="13">
        <f t="shared" ref="CT19:CT28" si="48">(CH34+CI34)/(CG34+CO19)</f>
        <v>5.664625591040888E-2</v>
      </c>
      <c r="CU19" s="13">
        <f t="shared" ref="CU19:CU28" si="49">(CM34+CL34)/(CK34+CO19)</f>
        <v>0.77332333933178921</v>
      </c>
    </row>
    <row r="20" spans="5:99" x14ac:dyDescent="0.25">
      <c r="E20" s="12">
        <f t="shared" si="37"/>
        <v>0.20999999968391</v>
      </c>
      <c r="F20" s="12">
        <f t="shared" si="38"/>
        <v>0.79000000031608997</v>
      </c>
      <c r="G20" s="14">
        <f t="shared" si="39"/>
        <v>1</v>
      </c>
      <c r="H20" s="14">
        <f>H6/($H$6+$I$6+$J$6+$K$6+$L$6+$M$6+$N$6)</f>
        <v>0</v>
      </c>
      <c r="I20" s="14">
        <f t="shared" ref="I20:N20" si="50">I6/($H$6+$I$6+$J$6+$K$6+$L$6+$M$6+$N$6)</f>
        <v>0.10375534565847339</v>
      </c>
      <c r="J20" s="14">
        <f t="shared" si="50"/>
        <v>0</v>
      </c>
      <c r="K20" s="14">
        <f t="shared" si="50"/>
        <v>0.31313193776929388</v>
      </c>
      <c r="L20" s="14">
        <f t="shared" si="50"/>
        <v>0.41874057241831725</v>
      </c>
      <c r="M20" s="14">
        <f t="shared" si="50"/>
        <v>4.0100072386844513E-7</v>
      </c>
      <c r="N20" s="14">
        <f t="shared" si="50"/>
        <v>0.16437174315319161</v>
      </c>
      <c r="O20" s="15">
        <f t="shared" si="41"/>
        <v>1</v>
      </c>
      <c r="P20">
        <f>'ASPEN Ex air'!O9</f>
        <v>-12532.7912</v>
      </c>
      <c r="Q20">
        <f>'ASPEN Ex air'!P9</f>
        <v>452230712</v>
      </c>
      <c r="R20">
        <f>'ASPEN Ex air'!Q9</f>
        <v>-16335749.699999999</v>
      </c>
      <c r="T20">
        <f t="shared" si="42"/>
        <v>-12532.7912</v>
      </c>
      <c r="U20">
        <f>'ASPEN Ex air'!R9</f>
        <v>95450657.900000006</v>
      </c>
      <c r="V20">
        <f>'ASPEN Ex air'!S9</f>
        <v>-58542313.399999999</v>
      </c>
      <c r="X20">
        <v>298</v>
      </c>
      <c r="Z20">
        <f>'ASPEN Ex air'!T9</f>
        <v>4233.3923999999997</v>
      </c>
      <c r="AA20">
        <f>'ASPEN Ex air'!U9</f>
        <v>94333.088600000003</v>
      </c>
      <c r="AB20">
        <f>'ASPEN Ex air'!V9</f>
        <v>90045.653099999996</v>
      </c>
      <c r="AD20">
        <f t="shared" si="43"/>
        <v>4233.3923999999997</v>
      </c>
      <c r="AE20">
        <f>'ASPEN Ex air'!W9</f>
        <v>-393627.22100000002</v>
      </c>
      <c r="AF20">
        <f>'ASPEN Ex air'!X9</f>
        <v>34583.073499999999</v>
      </c>
      <c r="AJ20">
        <f t="shared" si="1"/>
        <v>0</v>
      </c>
      <c r="AK20">
        <f t="shared" si="2"/>
        <v>211367881.83920002</v>
      </c>
      <c r="AL20">
        <f t="shared" si="3"/>
        <v>25678714.979200006</v>
      </c>
      <c r="AN20">
        <f t="shared" si="4"/>
        <v>0</v>
      </c>
      <c r="AO20">
        <f t="shared" si="5"/>
        <v>211.36788183920001</v>
      </c>
      <c r="AP20">
        <f t="shared" si="6"/>
        <v>25.678714979200006</v>
      </c>
      <c r="AT20">
        <f t="shared" si="7"/>
        <v>0.83369999874512279</v>
      </c>
      <c r="AU20">
        <f t="shared" si="8"/>
        <v>0.5688000002275847</v>
      </c>
      <c r="AV20">
        <f t="shared" si="9"/>
        <v>4458.1845000000003</v>
      </c>
      <c r="AW20">
        <f t="shared" si="10"/>
        <v>0</v>
      </c>
      <c r="AX20">
        <f t="shared" si="11"/>
        <v>7.4703848874100837E-2</v>
      </c>
      <c r="AY20">
        <f t="shared" si="12"/>
        <v>0</v>
      </c>
      <c r="AZ20">
        <f t="shared" si="13"/>
        <v>73.930450507330278</v>
      </c>
      <c r="BA20">
        <f t="shared" si="14"/>
        <v>115.15784482076143</v>
      </c>
      <c r="BB20">
        <f t="shared" si="15"/>
        <v>7.9438243398338967E-6</v>
      </c>
      <c r="BC20">
        <f t="shared" si="16"/>
        <v>136.69976019335181</v>
      </c>
      <c r="BE20">
        <f t="shared" si="17"/>
        <v>1.4024999989727074</v>
      </c>
      <c r="BF20">
        <f t="shared" si="18"/>
        <v>4458.1845000000003</v>
      </c>
      <c r="BG20">
        <f t="shared" si="19"/>
        <v>325.86276731414193</v>
      </c>
      <c r="BI20" s="15">
        <f t="shared" si="44"/>
        <v>-0.32773602695836518</v>
      </c>
      <c r="BJ20" s="15">
        <f t="shared" si="45"/>
        <v>-0.18622064324006471</v>
      </c>
      <c r="BK20" s="15"/>
      <c r="BL20" s="15"/>
      <c r="BM20" s="15">
        <f t="shared" si="20"/>
        <v>-0.2350805199290491</v>
      </c>
      <c r="BN20" s="15"/>
      <c r="BO20" s="15">
        <f t="shared" si="21"/>
        <v>-0.36358709070079337</v>
      </c>
      <c r="BP20" s="15">
        <f t="shared" si="22"/>
        <v>-0.36451522170217832</v>
      </c>
      <c r="BQ20" s="15">
        <f t="shared" si="23"/>
        <v>-5.9064610064751587E-6</v>
      </c>
      <c r="BR20" s="15">
        <f t="shared" si="24"/>
        <v>-0.2967936777368021</v>
      </c>
      <c r="BT20" s="15">
        <f t="shared" si="25"/>
        <v>-0.51395667019842994</v>
      </c>
      <c r="BU20" s="15">
        <f t="shared" si="26"/>
        <v>0</v>
      </c>
      <c r="BV20" s="15">
        <f t="shared" si="27"/>
        <v>-1.2599824165298295</v>
      </c>
      <c r="BX20">
        <f t="shared" si="46"/>
        <v>8.3143999999999996E-3</v>
      </c>
      <c r="BY20">
        <v>298.14999999999998</v>
      </c>
      <c r="CA20">
        <f t="shared" si="28"/>
        <v>0.12843309383995072</v>
      </c>
      <c r="CB20">
        <f t="shared" si="29"/>
        <v>4458.1845000000003</v>
      </c>
      <c r="CC20">
        <f t="shared" si="30"/>
        <v>322.73934856888064</v>
      </c>
      <c r="CG20">
        <f t="shared" si="31"/>
        <v>0.12843309383995072</v>
      </c>
      <c r="CH20">
        <f t="shared" si="32"/>
        <v>4669.5523818392003</v>
      </c>
      <c r="CI20">
        <f t="shared" si="33"/>
        <v>348.41806354808062</v>
      </c>
      <c r="CK20" s="27">
        <f t="shared" si="34"/>
        <v>0.89389983263113526</v>
      </c>
      <c r="CL20" s="27">
        <f t="shared" si="35"/>
        <v>6916.9488733807775</v>
      </c>
      <c r="CM20" s="27">
        <f t="shared" si="36"/>
        <v>45945.378833917159</v>
      </c>
      <c r="CO20">
        <f>'Ch-exr of biomass'!$E$34</f>
        <v>63893.670989028738</v>
      </c>
      <c r="CQ20" s="3">
        <v>0.2</v>
      </c>
      <c r="CS20" s="13">
        <f t="shared" si="47"/>
        <v>0.82733684467915258</v>
      </c>
      <c r="CT20" s="13">
        <f t="shared" si="48"/>
        <v>5.7897926042891373E-2</v>
      </c>
      <c r="CU20" s="13">
        <f t="shared" si="49"/>
        <v>0.76943972864172105</v>
      </c>
    </row>
    <row r="21" spans="5:99" x14ac:dyDescent="0.25">
      <c r="E21" s="12">
        <f t="shared" si="37"/>
        <v>0.20999999956825147</v>
      </c>
      <c r="F21" s="12">
        <f t="shared" si="38"/>
        <v>0.79000000043174856</v>
      </c>
      <c r="G21" s="14">
        <f t="shared" si="39"/>
        <v>1</v>
      </c>
      <c r="H21" s="14">
        <f>H7/($H$7+$I$7+$J$7+$K$7+$L$7+$M$7+$N$7)</f>
        <v>0</v>
      </c>
      <c r="I21" s="14">
        <f t="shared" ref="I21:N21" si="51">I7/($H$7+$I$7+$J$7+$K$7+$L$7+$M$7+$N$7)</f>
        <v>0.12039696242107949</v>
      </c>
      <c r="J21" s="14">
        <f t="shared" si="51"/>
        <v>0</v>
      </c>
      <c r="K21" s="14">
        <f t="shared" si="51"/>
        <v>0.3098746812487127</v>
      </c>
      <c r="L21" s="14">
        <f t="shared" si="51"/>
        <v>0.41382831816608057</v>
      </c>
      <c r="M21" s="14">
        <f t="shared" si="51"/>
        <v>3.9516316462832882E-7</v>
      </c>
      <c r="N21" s="14">
        <f t="shared" si="51"/>
        <v>0.15589964300096254</v>
      </c>
      <c r="O21" s="15">
        <f t="shared" si="41"/>
        <v>1</v>
      </c>
      <c r="P21">
        <f>'ASPEN Ex air'!O10</f>
        <v>-12532.7912</v>
      </c>
      <c r="Q21">
        <f>'ASPEN Ex air'!P10</f>
        <v>452803122</v>
      </c>
      <c r="R21">
        <f>'ASPEN Ex air'!Q10</f>
        <v>-15403651.6</v>
      </c>
      <c r="T21">
        <f t="shared" si="42"/>
        <v>-12532.7912</v>
      </c>
      <c r="U21">
        <f>'ASPEN Ex air'!R10</f>
        <v>95451286.200000003</v>
      </c>
      <c r="V21">
        <f>'ASPEN Ex air'!S10</f>
        <v>-57367978.399999999</v>
      </c>
      <c r="X21">
        <v>298</v>
      </c>
      <c r="Z21">
        <f>'ASPEN Ex air'!T10</f>
        <v>4233.3923999999997</v>
      </c>
      <c r="AA21">
        <f>'ASPEN Ex air'!U10</f>
        <v>94728.870699999999</v>
      </c>
      <c r="AB21">
        <f>'ASPEN Ex air'!V10</f>
        <v>90094.1103</v>
      </c>
      <c r="AD21">
        <f t="shared" si="43"/>
        <v>4233.3923999999997</v>
      </c>
      <c r="AE21">
        <f>'ASPEN Ex air'!W10</f>
        <v>-393627.56</v>
      </c>
      <c r="AF21">
        <f>'ASPEN Ex air'!X10</f>
        <v>34933.932999999997</v>
      </c>
      <c r="AJ21">
        <f t="shared" si="1"/>
        <v>0</v>
      </c>
      <c r="AK21">
        <f t="shared" si="2"/>
        <v>211821619.45140001</v>
      </c>
      <c r="AL21">
        <f t="shared" si="3"/>
        <v>25526593.964599997</v>
      </c>
      <c r="AN21">
        <f t="shared" si="4"/>
        <v>0</v>
      </c>
      <c r="AO21">
        <f t="shared" si="5"/>
        <v>211.82161945140001</v>
      </c>
      <c r="AP21">
        <f t="shared" si="6"/>
        <v>25.526593964599996</v>
      </c>
      <c r="AT21">
        <f t="shared" si="7"/>
        <v>0.83369999828595831</v>
      </c>
      <c r="AU21">
        <f t="shared" si="8"/>
        <v>0.56880000031085898</v>
      </c>
      <c r="AV21">
        <f t="shared" si="9"/>
        <v>4458.1845000000003</v>
      </c>
      <c r="AW21">
        <f t="shared" si="10"/>
        <v>0</v>
      </c>
      <c r="AX21">
        <f t="shared" si="11"/>
        <v>8.6685812943177232E-2</v>
      </c>
      <c r="AY21">
        <f t="shared" si="12"/>
        <v>0</v>
      </c>
      <c r="AZ21">
        <f t="shared" si="13"/>
        <v>73.161412242821072</v>
      </c>
      <c r="BA21">
        <f t="shared" si="14"/>
        <v>113.80692577885381</v>
      </c>
      <c r="BB21">
        <f t="shared" si="15"/>
        <v>7.8281822912871934E-6</v>
      </c>
      <c r="BC21">
        <f t="shared" si="16"/>
        <v>129.6539381017505</v>
      </c>
      <c r="BE21">
        <f t="shared" si="17"/>
        <v>1.4024999985968174</v>
      </c>
      <c r="BF21">
        <f t="shared" si="18"/>
        <v>4458.1845000000003</v>
      </c>
      <c r="BG21">
        <f t="shared" si="19"/>
        <v>316.70896976455083</v>
      </c>
      <c r="BI21" s="15">
        <f t="shared" si="44"/>
        <v>-0.32773602689352149</v>
      </c>
      <c r="BJ21" s="15">
        <f t="shared" si="45"/>
        <v>-0.18622064315166942</v>
      </c>
      <c r="BK21" s="15"/>
      <c r="BL21" s="15"/>
      <c r="BM21" s="15">
        <f t="shared" si="20"/>
        <v>-0.25487567101253705</v>
      </c>
      <c r="BN21" s="15"/>
      <c r="BO21" s="15">
        <f t="shared" si="21"/>
        <v>-0.36304524649470987</v>
      </c>
      <c r="BP21" s="15">
        <f t="shared" si="22"/>
        <v>-0.36512241419329322</v>
      </c>
      <c r="BQ21" s="15">
        <f t="shared" si="23"/>
        <v>-5.8262726914289787E-6</v>
      </c>
      <c r="BR21" s="15">
        <f t="shared" si="24"/>
        <v>-0.2897461579064376</v>
      </c>
      <c r="BT21" s="15">
        <f t="shared" si="25"/>
        <v>-0.51395667004519097</v>
      </c>
      <c r="BU21" s="15">
        <f t="shared" si="26"/>
        <v>0</v>
      </c>
      <c r="BV21" s="15">
        <f t="shared" si="27"/>
        <v>-1.272795315879669</v>
      </c>
      <c r="BX21">
        <f t="shared" si="46"/>
        <v>8.3143999999999996E-3</v>
      </c>
      <c r="BY21">
        <v>298.14999999999998</v>
      </c>
      <c r="CA21">
        <f t="shared" si="28"/>
        <v>0.12843309384393065</v>
      </c>
      <c r="CB21">
        <f t="shared" si="29"/>
        <v>4458.1845000000003</v>
      </c>
      <c r="CC21">
        <f t="shared" si="30"/>
        <v>313.55378863158842</v>
      </c>
      <c r="CG21">
        <f t="shared" si="31"/>
        <v>0.12843309384393065</v>
      </c>
      <c r="CH21">
        <f t="shared" si="32"/>
        <v>4670.0061194514001</v>
      </c>
      <c r="CI21">
        <f t="shared" si="33"/>
        <v>339.08038259618843</v>
      </c>
      <c r="CK21" s="27">
        <f t="shared" si="34"/>
        <v>1.338623903294125</v>
      </c>
      <c r="CL21" s="27">
        <f t="shared" si="35"/>
        <v>6258.5973843990023</v>
      </c>
      <c r="CM21" s="27">
        <f t="shared" si="36"/>
        <v>46436.455686896028</v>
      </c>
      <c r="CO21">
        <f>'Ch-exr of biomass'!$E$34</f>
        <v>63893.670989028738</v>
      </c>
      <c r="CQ21" s="3">
        <v>0.3</v>
      </c>
      <c r="CS21" s="13">
        <f t="shared" si="47"/>
        <v>0.82471312533662744</v>
      </c>
      <c r="CT21" s="13">
        <f t="shared" si="48"/>
        <v>5.9156069414320903E-2</v>
      </c>
      <c r="CU21" s="13">
        <f t="shared" si="49"/>
        <v>0.76555829526367336</v>
      </c>
    </row>
    <row r="22" spans="5:99" x14ac:dyDescent="0.25">
      <c r="E22" s="12">
        <f t="shared" si="37"/>
        <v>0.21000000053293297</v>
      </c>
      <c r="F22" s="12">
        <f t="shared" si="38"/>
        <v>0.78999999946706712</v>
      </c>
      <c r="G22" s="14">
        <f t="shared" si="39"/>
        <v>1</v>
      </c>
      <c r="H22" s="14">
        <f>H8/($H$8+$I$8+$J$8+$K$8+$L$8+$M$8+$N$8)</f>
        <v>0</v>
      </c>
      <c r="I22" s="14">
        <f t="shared" ref="I22:N22" si="52">I8/($H$8+$I$8+$J$8+$K$8+$L$8+$M$8+$N$8)</f>
        <v>0.13585126314776105</v>
      </c>
      <c r="J22" s="14">
        <f t="shared" si="52"/>
        <v>0</v>
      </c>
      <c r="K22" s="14">
        <f t="shared" si="52"/>
        <v>0.30681730650139649</v>
      </c>
      <c r="L22" s="14">
        <f t="shared" si="52"/>
        <v>0.40927224231545811</v>
      </c>
      <c r="M22" s="14">
        <f t="shared" si="52"/>
        <v>3.898548656349948E-7</v>
      </c>
      <c r="N22" s="14">
        <f t="shared" si="52"/>
        <v>0.14805879818051879</v>
      </c>
      <c r="O22" s="15">
        <f t="shared" si="41"/>
        <v>1</v>
      </c>
      <c r="P22">
        <f>'ASPEN Ex air'!O11</f>
        <v>-12532.7912</v>
      </c>
      <c r="Q22">
        <f>'ASPEN Ex air'!P11</f>
        <v>453374219</v>
      </c>
      <c r="R22">
        <f>'ASPEN Ex air'!Q11</f>
        <v>-14535864.9</v>
      </c>
      <c r="T22">
        <f t="shared" si="42"/>
        <v>-12532.7912</v>
      </c>
      <c r="U22">
        <f>'ASPEN Ex air'!R11</f>
        <v>95451519.799999997</v>
      </c>
      <c r="V22">
        <f>'ASPEN Ex air'!S11</f>
        <v>-56280056.799999997</v>
      </c>
      <c r="X22">
        <v>298</v>
      </c>
      <c r="Z22">
        <f>'ASPEN Ex air'!T11</f>
        <v>4233.3923999999997</v>
      </c>
      <c r="AA22">
        <f>'ASPEN Ex air'!U11</f>
        <v>95123.712700000004</v>
      </c>
      <c r="AB22">
        <f>'ASPEN Ex air'!V11</f>
        <v>90119.987099999998</v>
      </c>
      <c r="AD22">
        <f t="shared" si="43"/>
        <v>4233.3923999999997</v>
      </c>
      <c r="AE22">
        <f>'ASPEN Ex air'!W11</f>
        <v>-393627.68599999999</v>
      </c>
      <c r="AF22">
        <f>'ASPEN Ex air'!X11</f>
        <v>35236.906799999997</v>
      </c>
      <c r="AJ22">
        <f t="shared" si="1"/>
        <v>0</v>
      </c>
      <c r="AK22">
        <f t="shared" si="2"/>
        <v>212274782.38739997</v>
      </c>
      <c r="AL22">
        <f t="shared" si="3"/>
        <v>25389033.970599998</v>
      </c>
      <c r="AN22">
        <f t="shared" si="4"/>
        <v>0</v>
      </c>
      <c r="AO22">
        <f t="shared" si="5"/>
        <v>212.27478238739997</v>
      </c>
      <c r="AP22">
        <f t="shared" si="6"/>
        <v>25.389033970599996</v>
      </c>
      <c r="AT22">
        <f t="shared" si="7"/>
        <v>0.83370000211574391</v>
      </c>
      <c r="AU22">
        <f t="shared" si="8"/>
        <v>0.56879999961628835</v>
      </c>
      <c r="AV22">
        <f t="shared" si="9"/>
        <v>4458.1845000000003</v>
      </c>
      <c r="AW22">
        <f t="shared" si="10"/>
        <v>0</v>
      </c>
      <c r="AX22">
        <f t="shared" si="11"/>
        <v>9.7812909466387959E-2</v>
      </c>
      <c r="AY22">
        <f t="shared" si="12"/>
        <v>0</v>
      </c>
      <c r="AZ22">
        <f t="shared" si="13"/>
        <v>72.439566064979715</v>
      </c>
      <c r="BA22">
        <f t="shared" si="14"/>
        <v>112.55395935917413</v>
      </c>
      <c r="BB22">
        <f t="shared" si="15"/>
        <v>7.7230248882292462E-6</v>
      </c>
      <c r="BC22">
        <f t="shared" si="16"/>
        <v>123.13309950682844</v>
      </c>
      <c r="BE22">
        <f t="shared" si="17"/>
        <v>1.4025000017320322</v>
      </c>
      <c r="BF22">
        <f t="shared" si="18"/>
        <v>4458.1845000000003</v>
      </c>
      <c r="BG22">
        <f t="shared" si="19"/>
        <v>308.22444556347352</v>
      </c>
      <c r="BI22" s="15">
        <f t="shared" si="44"/>
        <v>-0.32773602743436803</v>
      </c>
      <c r="BJ22" s="15">
        <f t="shared" si="45"/>
        <v>-0.1862206438889539</v>
      </c>
      <c r="BK22" s="15"/>
      <c r="BL22" s="15"/>
      <c r="BM22" s="15">
        <f t="shared" si="20"/>
        <v>-0.27118556401837152</v>
      </c>
      <c r="BN22" s="15"/>
      <c r="BO22" s="15">
        <f t="shared" si="21"/>
        <v>-0.36250550713783053</v>
      </c>
      <c r="BP22" s="15">
        <f t="shared" si="22"/>
        <v>-0.36563347293379994</v>
      </c>
      <c r="BQ22" s="15">
        <f t="shared" si="23"/>
        <v>-5.7532797903978389E-6</v>
      </c>
      <c r="BR22" s="15">
        <f t="shared" si="24"/>
        <v>-0.28281389136598695</v>
      </c>
      <c r="BT22" s="15">
        <f t="shared" si="25"/>
        <v>-0.5139566713233219</v>
      </c>
      <c r="BU22" s="15">
        <f t="shared" si="26"/>
        <v>0</v>
      </c>
      <c r="BV22" s="15">
        <f t="shared" si="27"/>
        <v>-1.2821441887357794</v>
      </c>
      <c r="BX22">
        <f t="shared" si="46"/>
        <v>8.3143999999999996E-3</v>
      </c>
      <c r="BY22">
        <v>298.14999999999998</v>
      </c>
      <c r="CA22">
        <f t="shared" si="28"/>
        <v>0.12843309381073764</v>
      </c>
      <c r="CB22">
        <f t="shared" si="29"/>
        <v>4458.1845000000003</v>
      </c>
      <c r="CC22">
        <f t="shared" si="30"/>
        <v>305.04608915096532</v>
      </c>
      <c r="CG22">
        <f t="shared" si="31"/>
        <v>0.12843309381073764</v>
      </c>
      <c r="CH22">
        <f t="shared" si="32"/>
        <v>4670.4592823874</v>
      </c>
      <c r="CI22">
        <f t="shared" si="33"/>
        <v>330.43512312156531</v>
      </c>
      <c r="CK22" s="27">
        <f t="shared" si="34"/>
        <v>1.7833479708998534</v>
      </c>
      <c r="CL22" s="27">
        <f t="shared" si="35"/>
        <v>5598.1615302252385</v>
      </c>
      <c r="CM22" s="27">
        <f t="shared" si="36"/>
        <v>46930.45809085459</v>
      </c>
      <c r="CO22">
        <f>'Ch-exr of biomass'!$E$34</f>
        <v>63893.670989028738</v>
      </c>
      <c r="CQ22" s="3">
        <v>0.4</v>
      </c>
      <c r="CS22" s="13">
        <f t="shared" si="47"/>
        <v>0.82210260755063336</v>
      </c>
      <c r="CT22" s="13">
        <f t="shared" si="48"/>
        <v>6.0418321555291379E-2</v>
      </c>
      <c r="CU22" s="13">
        <f t="shared" si="49"/>
        <v>0.7616859722951308</v>
      </c>
    </row>
    <row r="23" spans="5:99" x14ac:dyDescent="0.25">
      <c r="E23" s="12">
        <f t="shared" si="37"/>
        <v>0.21000000029398008</v>
      </c>
      <c r="F23" s="12">
        <f t="shared" si="38"/>
        <v>0.78999999970601997</v>
      </c>
      <c r="G23" s="14">
        <f t="shared" si="39"/>
        <v>1</v>
      </c>
      <c r="H23" s="14">
        <f>H9/($H$9+$I$9+$J$9+$K$9+$L$9+$M$9+$N$9)</f>
        <v>0</v>
      </c>
      <c r="I23" s="14">
        <f t="shared" ref="I23:N23" si="53">I9/($H$9+$I$9+$J$9+$K$9+$L$9+$M$9+$N$9)</f>
        <v>0.15023658842843199</v>
      </c>
      <c r="J23" s="14">
        <f t="shared" si="53"/>
        <v>0</v>
      </c>
      <c r="K23" s="14">
        <f t="shared" si="53"/>
        <v>0.30399173313014871</v>
      </c>
      <c r="L23" s="14">
        <f t="shared" si="53"/>
        <v>0.40502773552828847</v>
      </c>
      <c r="M23" s="14">
        <f t="shared" si="53"/>
        <v>3.8543497503397711E-7</v>
      </c>
      <c r="N23" s="14">
        <f t="shared" si="53"/>
        <v>0.14074355747815581</v>
      </c>
      <c r="O23" s="15">
        <f t="shared" si="41"/>
        <v>1</v>
      </c>
      <c r="P23">
        <f>'ASPEN Ex air'!O12</f>
        <v>-12532.7912</v>
      </c>
      <c r="Q23">
        <f>'ASPEN Ex air'!P12</f>
        <v>453932674</v>
      </c>
      <c r="R23">
        <f>'ASPEN Ex air'!Q12</f>
        <v>-13724962.699999999</v>
      </c>
      <c r="T23">
        <f t="shared" si="42"/>
        <v>-12532.7912</v>
      </c>
      <c r="U23">
        <f>'ASPEN Ex air'!R12</f>
        <v>95451407.099999994</v>
      </c>
      <c r="V23">
        <f>'ASPEN Ex air'!S12</f>
        <v>-55265743.799999997</v>
      </c>
      <c r="X23">
        <v>298</v>
      </c>
      <c r="Z23">
        <f>'ASPEN Ex air'!T12</f>
        <v>4233.3923999999997</v>
      </c>
      <c r="AA23">
        <f>'ASPEN Ex air'!U12</f>
        <v>95509.739799999996</v>
      </c>
      <c r="AB23">
        <f>'ASPEN Ex air'!V12</f>
        <v>90128.797399999996</v>
      </c>
      <c r="AD23">
        <f t="shared" si="43"/>
        <v>4233.3923999999997</v>
      </c>
      <c r="AE23">
        <f>'ASPEN Ex air'!W12</f>
        <v>-393627.625</v>
      </c>
      <c r="AF23">
        <f>'ASPEN Ex air'!X12</f>
        <v>35502.952799999999</v>
      </c>
      <c r="AJ23">
        <f t="shared" si="1"/>
        <v>0</v>
      </c>
      <c r="AK23">
        <f t="shared" si="2"/>
        <v>212718332.18959999</v>
      </c>
      <c r="AL23">
        <f t="shared" si="3"/>
        <v>25262279.409199998</v>
      </c>
      <c r="AN23">
        <f t="shared" si="4"/>
        <v>0</v>
      </c>
      <c r="AO23">
        <f t="shared" si="5"/>
        <v>212.71833218959998</v>
      </c>
      <c r="AP23">
        <f t="shared" si="6"/>
        <v>25.262279409199998</v>
      </c>
      <c r="AT23">
        <f t="shared" si="7"/>
        <v>0.83370000116710097</v>
      </c>
      <c r="AU23">
        <f t="shared" si="8"/>
        <v>0.5687999997883344</v>
      </c>
      <c r="AV23">
        <f t="shared" si="9"/>
        <v>4458.1845000000003</v>
      </c>
      <c r="AW23">
        <f t="shared" si="10"/>
        <v>0</v>
      </c>
      <c r="AX23">
        <f t="shared" si="11"/>
        <v>0.10817034366847103</v>
      </c>
      <c r="AY23">
        <f t="shared" si="12"/>
        <v>0</v>
      </c>
      <c r="AZ23">
        <f t="shared" si="13"/>
        <v>71.772448192028108</v>
      </c>
      <c r="BA23">
        <f t="shared" si="14"/>
        <v>111.3866775476346</v>
      </c>
      <c r="BB23">
        <f t="shared" si="15"/>
        <v>7.6354668554230867E-6</v>
      </c>
      <c r="BC23">
        <f t="shared" si="16"/>
        <v>117.04937957670828</v>
      </c>
      <c r="BE23">
        <f t="shared" si="17"/>
        <v>1.4025000009554354</v>
      </c>
      <c r="BF23">
        <f t="shared" si="18"/>
        <v>4458.1845000000003</v>
      </c>
      <c r="BG23">
        <f t="shared" si="19"/>
        <v>300.31668329550632</v>
      </c>
      <c r="BI23" s="15">
        <f t="shared" si="44"/>
        <v>-0.32773602730039963</v>
      </c>
      <c r="BJ23" s="15">
        <f t="shared" si="45"/>
        <v>-0.18622064370632757</v>
      </c>
      <c r="BK23" s="15"/>
      <c r="BL23" s="15"/>
      <c r="BM23" s="15">
        <f t="shared" si="20"/>
        <v>-0.28478005945795737</v>
      </c>
      <c r="BN23" s="15"/>
      <c r="BO23" s="15">
        <f t="shared" si="21"/>
        <v>-0.36197960675061314</v>
      </c>
      <c r="BP23" s="15">
        <f t="shared" si="22"/>
        <v>-0.36606395859400676</v>
      </c>
      <c r="BQ23" s="15">
        <f t="shared" si="23"/>
        <v>-5.6924480339034716E-6</v>
      </c>
      <c r="BR23" s="15">
        <f t="shared" si="24"/>
        <v>-0.27597218925446126</v>
      </c>
      <c r="BT23" s="15">
        <f t="shared" si="25"/>
        <v>-0.51395667100672715</v>
      </c>
      <c r="BU23" s="15">
        <f t="shared" si="26"/>
        <v>0</v>
      </c>
      <c r="BV23" s="15">
        <f t="shared" si="27"/>
        <v>-1.2888015065050724</v>
      </c>
      <c r="BX23">
        <f t="shared" si="46"/>
        <v>8.3143999999999996E-3</v>
      </c>
      <c r="BY23">
        <v>298.14999999999998</v>
      </c>
      <c r="CA23">
        <f t="shared" si="28"/>
        <v>0.12843309381895973</v>
      </c>
      <c r="CB23">
        <f t="shared" si="29"/>
        <v>4458.1845000000003</v>
      </c>
      <c r="CC23">
        <f t="shared" si="30"/>
        <v>297.12182380260509</v>
      </c>
      <c r="CG23">
        <f t="shared" si="31"/>
        <v>0.12843309381895973</v>
      </c>
      <c r="CH23">
        <f t="shared" si="32"/>
        <v>4670.9028321896003</v>
      </c>
      <c r="CI23">
        <f t="shared" si="33"/>
        <v>322.3841032118051</v>
      </c>
      <c r="CK23" s="27">
        <f t="shared" si="34"/>
        <v>2.2280720415628434</v>
      </c>
      <c r="CL23" s="27">
        <f t="shared" si="35"/>
        <v>4938.8440351650424</v>
      </c>
      <c r="CM23" s="27">
        <f t="shared" si="36"/>
        <v>47424.421565976074</v>
      </c>
      <c r="CO23">
        <f>'Ch-exr of biomass'!$E$34</f>
        <v>63893.670989028738</v>
      </c>
      <c r="CQ23" s="3">
        <v>0.5</v>
      </c>
      <c r="CS23" s="13">
        <f t="shared" si="47"/>
        <v>0.81950901968048762</v>
      </c>
      <c r="CT23" s="13">
        <f t="shared" si="48"/>
        <v>6.1682741102746491E-2</v>
      </c>
      <c r="CU23" s="13">
        <f t="shared" si="49"/>
        <v>0.75782842947620122</v>
      </c>
    </row>
    <row r="24" spans="5:99" x14ac:dyDescent="0.25">
      <c r="E24" s="12">
        <f t="shared" si="37"/>
        <v>0.21000000013454548</v>
      </c>
      <c r="F24" s="12">
        <f t="shared" si="38"/>
        <v>0.78999999986545455</v>
      </c>
      <c r="G24" s="14">
        <f t="shared" si="39"/>
        <v>1</v>
      </c>
      <c r="H24" s="14">
        <f>H10/($H$10+$I$10+$J$10+$K$10+$L$10+$M$10+$N$10)</f>
        <v>0</v>
      </c>
      <c r="I24" s="14">
        <f t="shared" ref="I24:N24" si="54">I10/($H$10+$I$10+$J$10+$K$10+$L$10+$M$10+$N$10)</f>
        <v>0.16365475632762169</v>
      </c>
      <c r="J24" s="14">
        <f t="shared" si="54"/>
        <v>0</v>
      </c>
      <c r="K24" s="14">
        <f t="shared" si="54"/>
        <v>0.30142277745218776</v>
      </c>
      <c r="L24" s="14">
        <f t="shared" si="54"/>
        <v>0.40105687999366924</v>
      </c>
      <c r="M24" s="14">
        <f t="shared" si="54"/>
        <v>3.82220869122538E-7</v>
      </c>
      <c r="N24" s="14">
        <f t="shared" si="54"/>
        <v>0.13386520400565238</v>
      </c>
      <c r="O24" s="15">
        <f t="shared" si="41"/>
        <v>1.0000000000000002</v>
      </c>
      <c r="P24">
        <f>'ASPEN Ex air'!O13</f>
        <v>-12532.7912</v>
      </c>
      <c r="Q24">
        <f>'ASPEN Ex air'!P13</f>
        <v>454467941</v>
      </c>
      <c r="R24">
        <f>'ASPEN Ex air'!Q13</f>
        <v>-12964739.9</v>
      </c>
      <c r="T24">
        <f t="shared" si="42"/>
        <v>-12532.7912</v>
      </c>
      <c r="U24">
        <f>'ASPEN Ex air'!R13</f>
        <v>95450948.400000006</v>
      </c>
      <c r="V24">
        <f>'ASPEN Ex air'!S13</f>
        <v>-54314236.200000003</v>
      </c>
      <c r="X24">
        <v>298</v>
      </c>
      <c r="Z24">
        <f>'ASPEN Ex air'!T13</f>
        <v>4233.3923999999997</v>
      </c>
      <c r="AA24">
        <f>'ASPEN Ex air'!U13</f>
        <v>95879.707999999999</v>
      </c>
      <c r="AB24">
        <f>'ASPEN Ex air'!V13</f>
        <v>90124.263500000001</v>
      </c>
      <c r="AD24">
        <f t="shared" si="43"/>
        <v>4233.3923999999997</v>
      </c>
      <c r="AE24">
        <f>'ASPEN Ex air'!W13</f>
        <v>-393627.37800000003</v>
      </c>
      <c r="AF24">
        <f>'ASPEN Ex air'!X13</f>
        <v>35740.415200000003</v>
      </c>
      <c r="AJ24">
        <f t="shared" si="1"/>
        <v>0</v>
      </c>
      <c r="AK24">
        <f t="shared" si="2"/>
        <v>213143880.97200003</v>
      </c>
      <c r="AL24">
        <f t="shared" si="3"/>
        <v>25143109.506600007</v>
      </c>
      <c r="AN24">
        <f t="shared" si="4"/>
        <v>0</v>
      </c>
      <c r="AO24">
        <f t="shared" si="5"/>
        <v>213.14388097200003</v>
      </c>
      <c r="AP24">
        <f t="shared" si="6"/>
        <v>25.143109506600009</v>
      </c>
      <c r="AT24">
        <f t="shared" si="7"/>
        <v>0.83370000053414561</v>
      </c>
      <c r="AU24">
        <f t="shared" si="8"/>
        <v>0.56879999990312724</v>
      </c>
      <c r="AV24">
        <f t="shared" si="9"/>
        <v>4458.1845000000003</v>
      </c>
      <c r="AW24">
        <f t="shared" si="10"/>
        <v>0</v>
      </c>
      <c r="AX24">
        <f t="shared" si="11"/>
        <v>0.11783142455588762</v>
      </c>
      <c r="AY24">
        <f t="shared" si="12"/>
        <v>0</v>
      </c>
      <c r="AZ24">
        <f t="shared" si="13"/>
        <v>71.165917756461525</v>
      </c>
      <c r="BA24">
        <f t="shared" si="14"/>
        <v>110.29465256705898</v>
      </c>
      <c r="BB24">
        <f t="shared" si="15"/>
        <v>7.5717954173174771E-6</v>
      </c>
      <c r="BC24">
        <f t="shared" si="16"/>
        <v>111.32899691130081</v>
      </c>
      <c r="BE24">
        <f t="shared" si="17"/>
        <v>1.4025000004372727</v>
      </c>
      <c r="BF24">
        <f t="shared" si="18"/>
        <v>4458.1845000000003</v>
      </c>
      <c r="BG24">
        <f t="shared" si="19"/>
        <v>292.90740623117256</v>
      </c>
      <c r="BI24" s="15">
        <f t="shared" si="44"/>
        <v>-0.32773602721101297</v>
      </c>
      <c r="BJ24" s="15">
        <f t="shared" si="45"/>
        <v>-0.18622064358447529</v>
      </c>
      <c r="BK24" s="15"/>
      <c r="BL24" s="15"/>
      <c r="BM24" s="15">
        <f t="shared" si="20"/>
        <v>-0.29621448942690498</v>
      </c>
      <c r="BN24" s="15"/>
      <c r="BO24" s="15">
        <f t="shared" si="21"/>
        <v>-0.36147868069945266</v>
      </c>
      <c r="BP24" s="15">
        <f t="shared" si="22"/>
        <v>-0.36642642708284057</v>
      </c>
      <c r="BQ24" s="15">
        <f t="shared" si="23"/>
        <v>-5.6481799139718524E-6</v>
      </c>
      <c r="BR24" s="15">
        <f t="shared" si="24"/>
        <v>-0.26919247380787747</v>
      </c>
      <c r="BT24" s="15">
        <f t="shared" si="25"/>
        <v>-0.51395667079548824</v>
      </c>
      <c r="BU24" s="15">
        <f t="shared" si="26"/>
        <v>0</v>
      </c>
      <c r="BV24" s="15">
        <f t="shared" si="27"/>
        <v>-1.2933177191969898</v>
      </c>
      <c r="BX24">
        <f t="shared" si="46"/>
        <v>8.3143999999999996E-3</v>
      </c>
      <c r="BY24">
        <v>298.14999999999998</v>
      </c>
      <c r="CA24">
        <f t="shared" si="28"/>
        <v>0.12843309382444534</v>
      </c>
      <c r="CB24">
        <f t="shared" si="29"/>
        <v>4458.1845000000003</v>
      </c>
      <c r="CC24">
        <f t="shared" si="30"/>
        <v>289.70135132538741</v>
      </c>
      <c r="CG24">
        <f t="shared" si="31"/>
        <v>0.12843309382444534</v>
      </c>
      <c r="CH24">
        <f t="shared" si="32"/>
        <v>4671.3283809720006</v>
      </c>
      <c r="CI24">
        <f t="shared" si="33"/>
        <v>314.84446083198742</v>
      </c>
      <c r="CK24" s="27">
        <f t="shared" si="34"/>
        <v>2.6727961122258264</v>
      </c>
      <c r="CL24" s="27">
        <f t="shared" si="35"/>
        <v>4283.6622286766324</v>
      </c>
      <c r="CM24" s="27">
        <f t="shared" si="36"/>
        <v>47915.578516802045</v>
      </c>
      <c r="CO24">
        <f>'Ch-exr of biomass'!$E$34</f>
        <v>63893.670989028738</v>
      </c>
      <c r="CQ24" s="3">
        <v>0.6</v>
      </c>
      <c r="CS24" s="13">
        <f t="shared" si="47"/>
        <v>0.81693626979666967</v>
      </c>
      <c r="CT24" s="13">
        <f t="shared" si="48"/>
        <v>6.2947350927866033E-2</v>
      </c>
      <c r="CU24" s="13">
        <f t="shared" si="49"/>
        <v>0.75399155196836565</v>
      </c>
    </row>
    <row r="25" spans="5:99" x14ac:dyDescent="0.25">
      <c r="E25" s="12">
        <f t="shared" si="37"/>
        <v>0.21000000002059857</v>
      </c>
      <c r="F25" s="12">
        <f t="shared" si="38"/>
        <v>0.7899999999794014</v>
      </c>
      <c r="G25" s="14">
        <f t="shared" si="39"/>
        <v>1</v>
      </c>
      <c r="H25" s="14">
        <f>H11/($H$11+$I$11+$J$11+$K$11+$L$11+$M$11+$N$11)</f>
        <v>0</v>
      </c>
      <c r="I25" s="14">
        <f t="shared" ref="I25:N25" si="55">I11/($H$11+$I$11+$J$11+$K$11+$L$11+$M$11+$N$11)</f>
        <v>0.17619306669020854</v>
      </c>
      <c r="J25" s="14">
        <f t="shared" si="55"/>
        <v>0</v>
      </c>
      <c r="K25" s="14">
        <f t="shared" si="55"/>
        <v>0.29913761810623524</v>
      </c>
      <c r="L25" s="14">
        <f t="shared" si="55"/>
        <v>0.39732612970123388</v>
      </c>
      <c r="M25" s="14">
        <f t="shared" si="55"/>
        <v>3.8056602419997866E-7</v>
      </c>
      <c r="N25" s="14">
        <f t="shared" si="55"/>
        <v>0.1273428049362981</v>
      </c>
      <c r="O25" s="15">
        <f t="shared" si="41"/>
        <v>1</v>
      </c>
      <c r="P25">
        <f>'ASPEN Ex air'!O14</f>
        <v>-12532.7912</v>
      </c>
      <c r="Q25">
        <f>'ASPEN Ex air'!P14</f>
        <v>454968604</v>
      </c>
      <c r="R25">
        <f>'ASPEN Ex air'!Q14</f>
        <v>-12249854.1</v>
      </c>
      <c r="T25">
        <f t="shared" si="42"/>
        <v>-12532.7912</v>
      </c>
      <c r="U25">
        <f>'ASPEN Ex air'!R14</f>
        <v>95450100.299999997</v>
      </c>
      <c r="V25">
        <f>'ASPEN Ex air'!S14</f>
        <v>-53415794</v>
      </c>
      <c r="X25">
        <v>298</v>
      </c>
      <c r="Z25">
        <f>'ASPEN Ex air'!T14</f>
        <v>4233.3923999999997</v>
      </c>
      <c r="AA25">
        <f>'ASPEN Ex air'!U14</f>
        <v>96225.852499999994</v>
      </c>
      <c r="AB25">
        <f>'ASPEN Ex air'!V14</f>
        <v>90108.868700000006</v>
      </c>
      <c r="AD25">
        <f t="shared" si="43"/>
        <v>4233.3923999999997</v>
      </c>
      <c r="AE25">
        <f>'ASPEN Ex air'!W14</f>
        <v>-393626.92099999997</v>
      </c>
      <c r="AF25">
        <f>'ASPEN Ex air'!X14</f>
        <v>35956.132400000002</v>
      </c>
      <c r="AJ25">
        <f t="shared" si="1"/>
        <v>0</v>
      </c>
      <c r="AK25">
        <f t="shared" si="2"/>
        <v>213542377.197</v>
      </c>
      <c r="AL25">
        <f t="shared" si="3"/>
        <v>25028424.482599996</v>
      </c>
      <c r="AN25">
        <f t="shared" si="4"/>
        <v>0</v>
      </c>
      <c r="AO25">
        <f t="shared" si="5"/>
        <v>213.54237719700001</v>
      </c>
      <c r="AP25">
        <f t="shared" si="6"/>
        <v>25.028424482599995</v>
      </c>
      <c r="AT25">
        <f t="shared" si="7"/>
        <v>0.83370000008177636</v>
      </c>
      <c r="AU25">
        <f t="shared" si="8"/>
        <v>0.56879999998516895</v>
      </c>
      <c r="AV25">
        <f t="shared" si="9"/>
        <v>4458.1845000000003</v>
      </c>
      <c r="AW25">
        <f t="shared" si="10"/>
        <v>0</v>
      </c>
      <c r="AX25">
        <f t="shared" si="11"/>
        <v>0.12685900801695013</v>
      </c>
      <c r="AY25">
        <f t="shared" si="12"/>
        <v>0</v>
      </c>
      <c r="AZ25">
        <f t="shared" si="13"/>
        <v>70.62639163488214</v>
      </c>
      <c r="BA25">
        <f t="shared" si="14"/>
        <v>109.26865892913632</v>
      </c>
      <c r="BB25">
        <f t="shared" si="15"/>
        <v>7.5390129394015764E-6</v>
      </c>
      <c r="BC25">
        <f t="shared" si="16"/>
        <v>105.90464372527231</v>
      </c>
      <c r="BE25">
        <f t="shared" si="17"/>
        <v>1.4025000000669454</v>
      </c>
      <c r="BF25">
        <f t="shared" si="18"/>
        <v>4458.1845000000003</v>
      </c>
      <c r="BG25">
        <f t="shared" si="19"/>
        <v>285.92656083632062</v>
      </c>
      <c r="BI25" s="15">
        <f t="shared" si="44"/>
        <v>-0.32773602714712891</v>
      </c>
      <c r="BJ25" s="15">
        <f t="shared" si="45"/>
        <v>-0.18622064349738826</v>
      </c>
      <c r="BK25" s="15"/>
      <c r="BL25" s="15"/>
      <c r="BM25" s="15">
        <f t="shared" si="20"/>
        <v>-0.3059019826452507</v>
      </c>
      <c r="BN25" s="15"/>
      <c r="BO25" s="15">
        <f t="shared" si="21"/>
        <v>-0.36101469815088633</v>
      </c>
      <c r="BP25" s="15">
        <f t="shared" si="22"/>
        <v>-0.36673116351704083</v>
      </c>
      <c r="BQ25" s="15">
        <f t="shared" si="23"/>
        <v>-5.6253770857431928E-6</v>
      </c>
      <c r="BR25" s="15">
        <f t="shared" si="24"/>
        <v>-0.26243729463432963</v>
      </c>
      <c r="BT25" s="15">
        <f t="shared" si="25"/>
        <v>-0.51395667064451711</v>
      </c>
      <c r="BU25" s="15">
        <f t="shared" si="26"/>
        <v>0</v>
      </c>
      <c r="BV25" s="15">
        <f t="shared" si="27"/>
        <v>-1.2960907643245931</v>
      </c>
      <c r="BX25">
        <f t="shared" si="46"/>
        <v>8.3143999999999996E-3</v>
      </c>
      <c r="BY25">
        <v>298.14999999999998</v>
      </c>
      <c r="CA25">
        <f t="shared" si="28"/>
        <v>0.12843309382836599</v>
      </c>
      <c r="CB25">
        <f t="shared" si="29"/>
        <v>4458.1845000000003</v>
      </c>
      <c r="CC25">
        <f t="shared" si="30"/>
        <v>282.71363172259464</v>
      </c>
      <c r="CG25">
        <f t="shared" si="31"/>
        <v>0.12843309382836599</v>
      </c>
      <c r="CH25">
        <f t="shared" si="32"/>
        <v>4671.7268771970002</v>
      </c>
      <c r="CI25">
        <f t="shared" si="33"/>
        <v>307.74205620519461</v>
      </c>
      <c r="CK25" s="27">
        <f t="shared" si="34"/>
        <v>3.1175201828888119</v>
      </c>
      <c r="CL25" s="27">
        <f t="shared" si="35"/>
        <v>3635.991167508781</v>
      </c>
      <c r="CM25" s="27">
        <f t="shared" si="36"/>
        <v>48400.87199529542</v>
      </c>
      <c r="CO25">
        <f>'Ch-exr of biomass'!$E$34</f>
        <v>63893.670989028738</v>
      </c>
      <c r="CQ25" s="3">
        <v>0.7</v>
      </c>
      <c r="CS25" s="13">
        <f t="shared" si="47"/>
        <v>0.81438933594138851</v>
      </c>
      <c r="CT25" s="13">
        <f t="shared" si="48"/>
        <v>6.420988163316009E-2</v>
      </c>
      <c r="CU25" s="13">
        <f t="shared" si="49"/>
        <v>0.7501825871042046</v>
      </c>
    </row>
    <row r="26" spans="5:99" x14ac:dyDescent="0.25">
      <c r="E26" s="12">
        <f t="shared" si="37"/>
        <v>0.20999999993510282</v>
      </c>
      <c r="F26" s="12">
        <f t="shared" si="38"/>
        <v>0.79000000006489712</v>
      </c>
      <c r="G26" s="14">
        <f t="shared" si="39"/>
        <v>1</v>
      </c>
      <c r="H26" s="14">
        <f>H12/($H$12+$I$12+$J$12+$K$12+$L$12+$M$12+$N$12)</f>
        <v>0</v>
      </c>
      <c r="I26" s="14">
        <f t="shared" ref="I26:N26" si="56">I12/($H$12+$I$12+$J$12+$K$12+$L$12+$M$12+$N$12)</f>
        <v>0.18792570276286194</v>
      </c>
      <c r="J26" s="14">
        <f t="shared" si="56"/>
        <v>0</v>
      </c>
      <c r="K26" s="14">
        <f t="shared" si="56"/>
        <v>0.29717339454658831</v>
      </c>
      <c r="L26" s="14">
        <f t="shared" si="56"/>
        <v>0.3938045072793751</v>
      </c>
      <c r="M26" s="14">
        <f t="shared" si="56"/>
        <v>3.8094493740862197E-7</v>
      </c>
      <c r="N26" s="14">
        <f t="shared" si="56"/>
        <v>0.12109601446623723</v>
      </c>
      <c r="O26" s="15">
        <f t="shared" si="41"/>
        <v>0.99999999999999989</v>
      </c>
      <c r="P26">
        <f>'ASPEN Ex air'!O15</f>
        <v>-12532.7912</v>
      </c>
      <c r="Q26">
        <f>'ASPEN Ex air'!P15</f>
        <v>455420270</v>
      </c>
      <c r="R26">
        <f>'ASPEN Ex air'!Q15</f>
        <v>-11575636.699999999</v>
      </c>
      <c r="T26">
        <f t="shared" si="42"/>
        <v>-12532.7912</v>
      </c>
      <c r="U26">
        <f>'ASPEN Ex air'!R15</f>
        <v>95448765</v>
      </c>
      <c r="V26">
        <f>'ASPEN Ex air'!S15</f>
        <v>-52561005</v>
      </c>
      <c r="X26">
        <v>298</v>
      </c>
      <c r="Z26">
        <f>'ASPEN Ex air'!T15</f>
        <v>4233.3923999999997</v>
      </c>
      <c r="AA26">
        <f>'ASPEN Ex air'!U15</f>
        <v>96538.449900000007</v>
      </c>
      <c r="AB26">
        <f>'ASPEN Ex air'!V15</f>
        <v>90084.109200000006</v>
      </c>
      <c r="AD26">
        <f t="shared" si="43"/>
        <v>4233.3923999999997</v>
      </c>
      <c r="AE26">
        <f>'ASPEN Ex air'!W15</f>
        <v>-393626.20500000002</v>
      </c>
      <c r="AF26">
        <f>'ASPEN Ex air'!X15</f>
        <v>36156.187599999997</v>
      </c>
      <c r="AJ26">
        <f t="shared" si="1"/>
        <v>0</v>
      </c>
      <c r="AK26">
        <f t="shared" si="2"/>
        <v>213902437.8398</v>
      </c>
      <c r="AL26">
        <f t="shared" si="3"/>
        <v>24914847.663199995</v>
      </c>
      <c r="AN26">
        <f t="shared" si="4"/>
        <v>0</v>
      </c>
      <c r="AO26">
        <f t="shared" si="5"/>
        <v>213.9024378398</v>
      </c>
      <c r="AP26">
        <f t="shared" si="6"/>
        <v>24.914847663199996</v>
      </c>
      <c r="AT26">
        <f t="shared" si="7"/>
        <v>0.8336999997423582</v>
      </c>
      <c r="AU26">
        <f t="shared" si="8"/>
        <v>0.56880000004672593</v>
      </c>
      <c r="AV26">
        <f t="shared" si="9"/>
        <v>4458.1845000000003</v>
      </c>
      <c r="AW26">
        <f t="shared" si="10"/>
        <v>0</v>
      </c>
      <c r="AX26">
        <f t="shared" si="11"/>
        <v>0.13530650598926058</v>
      </c>
      <c r="AY26">
        <f t="shared" si="12"/>
        <v>0</v>
      </c>
      <c r="AZ26">
        <f t="shared" si="13"/>
        <v>70.162638452449499</v>
      </c>
      <c r="BA26">
        <f t="shared" si="14"/>
        <v>108.30017754690094</v>
      </c>
      <c r="BB26">
        <f t="shared" si="15"/>
        <v>7.5465192100648002E-6</v>
      </c>
      <c r="BC26">
        <f t="shared" si="16"/>
        <v>100.70950043084619</v>
      </c>
      <c r="BE26">
        <f t="shared" si="17"/>
        <v>1.4024999997890841</v>
      </c>
      <c r="BF26">
        <f t="shared" si="18"/>
        <v>4458.1845000000003</v>
      </c>
      <c r="BG26">
        <f t="shared" si="19"/>
        <v>279.30763048270512</v>
      </c>
      <c r="BI26" s="15">
        <f t="shared" si="44"/>
        <v>-0.32773602709919586</v>
      </c>
      <c r="BJ26" s="15">
        <f t="shared" si="45"/>
        <v>-0.18622064343204578</v>
      </c>
      <c r="BK26" s="15"/>
      <c r="BL26" s="15"/>
      <c r="BM26" s="15">
        <f t="shared" si="20"/>
        <v>-0.31415701202897051</v>
      </c>
      <c r="BN26" s="15"/>
      <c r="BO26" s="15">
        <f t="shared" si="21"/>
        <v>-0.36060193247288697</v>
      </c>
      <c r="BP26" s="15">
        <f t="shared" si="22"/>
        <v>-0.36698668309470273</v>
      </c>
      <c r="BQ26" s="15">
        <f t="shared" si="23"/>
        <v>-5.6305989297804745E-6</v>
      </c>
      <c r="BR26" s="15">
        <f t="shared" si="24"/>
        <v>-0.25565445935593273</v>
      </c>
      <c r="BT26" s="15">
        <f t="shared" si="25"/>
        <v>-0.51395667053124161</v>
      </c>
      <c r="BU26" s="15">
        <f t="shared" si="26"/>
        <v>0</v>
      </c>
      <c r="BV26" s="15">
        <f t="shared" si="27"/>
        <v>-1.2974057175514226</v>
      </c>
      <c r="BX26">
        <f t="shared" si="46"/>
        <v>8.3143999999999996E-3</v>
      </c>
      <c r="BY26">
        <v>298.14999999999998</v>
      </c>
      <c r="CA26">
        <f t="shared" si="28"/>
        <v>0.12843309383130785</v>
      </c>
      <c r="CB26">
        <f t="shared" si="29"/>
        <v>4458.1845000000003</v>
      </c>
      <c r="CC26">
        <f t="shared" si="30"/>
        <v>276.09144168098356</v>
      </c>
      <c r="CG26">
        <f t="shared" si="31"/>
        <v>0.12843309383130785</v>
      </c>
      <c r="CH26">
        <f t="shared" si="32"/>
        <v>4672.0869378398002</v>
      </c>
      <c r="CI26">
        <f t="shared" si="33"/>
        <v>301.00628934418359</v>
      </c>
      <c r="CK26" s="27">
        <f t="shared" si="34"/>
        <v>3.562244253551802</v>
      </c>
      <c r="CL26" s="27">
        <f t="shared" si="35"/>
        <v>3000.0995757696301</v>
      </c>
      <c r="CM26" s="27">
        <f t="shared" si="36"/>
        <v>48876.473037569733</v>
      </c>
      <c r="CO26">
        <f>'Ch-exr of biomass'!$E$34</f>
        <v>63893.670989028738</v>
      </c>
      <c r="CQ26" s="3">
        <v>0.8</v>
      </c>
      <c r="CS26" s="13">
        <f t="shared" si="47"/>
        <v>0.8118750998801979</v>
      </c>
      <c r="CT26" s="13">
        <f t="shared" si="48"/>
        <v>6.5467358620739866E-2</v>
      </c>
      <c r="CU26" s="13">
        <f t="shared" si="49"/>
        <v>0.74641139103755072</v>
      </c>
    </row>
    <row r="27" spans="5:99" x14ac:dyDescent="0.25">
      <c r="E27" s="12">
        <f t="shared" si="37"/>
        <v>0.21000000012179926</v>
      </c>
      <c r="F27" s="12">
        <f t="shared" si="38"/>
        <v>0.7899999998782008</v>
      </c>
      <c r="G27" s="14">
        <f t="shared" si="39"/>
        <v>1</v>
      </c>
      <c r="H27" s="14">
        <f>H13/($H$13+$I$13+$J$13+$K$13+$L$13+$M$13+$N$13)</f>
        <v>0</v>
      </c>
      <c r="I27" s="14">
        <f t="shared" ref="I27:N27" si="57">I13/($H$13+$I$13+$J$13+$K$13+$L$13+$M$13+$N$13)</f>
        <v>0.19891423796430177</v>
      </c>
      <c r="J27" s="14">
        <f t="shared" si="57"/>
        <v>0</v>
      </c>
      <c r="K27" s="14">
        <f t="shared" si="57"/>
        <v>0.29558739866183148</v>
      </c>
      <c r="L27" s="14">
        <f t="shared" si="57"/>
        <v>0.39046165207533456</v>
      </c>
      <c r="M27" s="14">
        <f t="shared" si="57"/>
        <v>3.8407523063504214E-7</v>
      </c>
      <c r="N27" s="14">
        <f t="shared" si="57"/>
        <v>0.1150363272233015</v>
      </c>
      <c r="O27" s="15">
        <f t="shared" si="41"/>
        <v>0.99999999999999989</v>
      </c>
      <c r="P27">
        <f>'ASPEN Ex air'!O16</f>
        <v>-12532.7912</v>
      </c>
      <c r="Q27">
        <f>'ASPEN Ex air'!P16</f>
        <v>455802946</v>
      </c>
      <c r="R27">
        <f>'ASPEN Ex air'!Q16</f>
        <v>-10937884.5</v>
      </c>
      <c r="T27">
        <f t="shared" si="42"/>
        <v>-12532.7912</v>
      </c>
      <c r="U27">
        <f>'ASPEN Ex air'!R16</f>
        <v>95446757.5</v>
      </c>
      <c r="V27">
        <f>'ASPEN Ex air'!S16</f>
        <v>-51739916.799999997</v>
      </c>
      <c r="X27">
        <v>298</v>
      </c>
      <c r="Z27">
        <f>'ASPEN Ex air'!T16</f>
        <v>4233.3923999999997</v>
      </c>
      <c r="AA27">
        <f>'ASPEN Ex air'!U16</f>
        <v>96804.049400000004</v>
      </c>
      <c r="AB27">
        <f>'ASPEN Ex air'!V16</f>
        <v>90050.587</v>
      </c>
      <c r="AD27">
        <f t="shared" si="43"/>
        <v>4233.3923999999997</v>
      </c>
      <c r="AE27">
        <f>'ASPEN Ex air'!W16</f>
        <v>-393625.13</v>
      </c>
      <c r="AF27">
        <f>'ASPEN Ex air'!X16</f>
        <v>36346.604299999999</v>
      </c>
      <c r="AJ27">
        <f t="shared" si="1"/>
        <v>0</v>
      </c>
      <c r="AK27">
        <f t="shared" si="2"/>
        <v>214208293.0388</v>
      </c>
      <c r="AL27">
        <f t="shared" si="3"/>
        <v>24798245.455399998</v>
      </c>
      <c r="AN27">
        <f t="shared" si="4"/>
        <v>0</v>
      </c>
      <c r="AO27">
        <f t="shared" si="5"/>
        <v>214.20829303880001</v>
      </c>
      <c r="AP27">
        <f t="shared" si="6"/>
        <v>24.798245455399996</v>
      </c>
      <c r="AT27">
        <f t="shared" si="7"/>
        <v>0.83370000048354309</v>
      </c>
      <c r="AU27">
        <f t="shared" si="8"/>
        <v>0.56879999991230457</v>
      </c>
      <c r="AV27">
        <f t="shared" si="9"/>
        <v>4458.1845000000003</v>
      </c>
      <c r="AW27">
        <f t="shared" si="10"/>
        <v>0</v>
      </c>
      <c r="AX27">
        <f t="shared" si="11"/>
        <v>0.14321825133429728</v>
      </c>
      <c r="AY27">
        <f t="shared" si="12"/>
        <v>0</v>
      </c>
      <c r="AZ27">
        <f t="shared" si="13"/>
        <v>69.788184824058405</v>
      </c>
      <c r="BA27">
        <f t="shared" si="14"/>
        <v>107.38085893723776</v>
      </c>
      <c r="BB27">
        <f t="shared" si="15"/>
        <v>7.6085303188801843E-6</v>
      </c>
      <c r="BC27">
        <f t="shared" si="16"/>
        <v>95.669961535258693</v>
      </c>
      <c r="BE27">
        <f t="shared" si="17"/>
        <v>1.4025000003958477</v>
      </c>
      <c r="BF27">
        <f t="shared" si="18"/>
        <v>4458.1845000000003</v>
      </c>
      <c r="BG27">
        <f t="shared" si="19"/>
        <v>272.98223115641952</v>
      </c>
      <c r="BI27" s="15">
        <f t="shared" si="44"/>
        <v>-0.3277360272038668</v>
      </c>
      <c r="BJ27" s="15">
        <f t="shared" si="45"/>
        <v>-0.18622064357473361</v>
      </c>
      <c r="BK27" s="15"/>
      <c r="BL27" s="15"/>
      <c r="BM27" s="15">
        <f t="shared" si="20"/>
        <v>-0.32122292539260511</v>
      </c>
      <c r="BN27" s="15"/>
      <c r="BO27" s="15">
        <f t="shared" si="21"/>
        <v>-0.36025917858957746</v>
      </c>
      <c r="BP27" s="15">
        <f t="shared" si="22"/>
        <v>-0.36720010087963267</v>
      </c>
      <c r="BQ27" s="15">
        <f t="shared" si="23"/>
        <v>-5.6737234570207602E-6</v>
      </c>
      <c r="BR27" s="15">
        <f t="shared" si="24"/>
        <v>-0.24876689872034549</v>
      </c>
      <c r="BT27" s="15">
        <f t="shared" si="25"/>
        <v>-0.51395667077860041</v>
      </c>
      <c r="BU27" s="15">
        <f t="shared" si="26"/>
        <v>0</v>
      </c>
      <c r="BV27" s="15">
        <f t="shared" si="27"/>
        <v>-1.2974547773056178</v>
      </c>
      <c r="BX27">
        <f t="shared" si="46"/>
        <v>8.3143999999999996E-3</v>
      </c>
      <c r="BY27">
        <v>298.14999999999998</v>
      </c>
      <c r="CA27">
        <f t="shared" si="28"/>
        <v>0.1284330938248841</v>
      </c>
      <c r="CB27">
        <f t="shared" si="29"/>
        <v>4458.1845000000003</v>
      </c>
      <c r="CC27">
        <f t="shared" si="30"/>
        <v>269.76592073859138</v>
      </c>
      <c r="CG27">
        <f t="shared" si="31"/>
        <v>0.1284330938248841</v>
      </c>
      <c r="CH27">
        <f t="shared" si="32"/>
        <v>4672.3927930387999</v>
      </c>
      <c r="CI27">
        <f t="shared" si="33"/>
        <v>294.56416619399135</v>
      </c>
      <c r="CK27" s="27">
        <f t="shared" si="34"/>
        <v>4.006968325227299</v>
      </c>
      <c r="CL27" s="27">
        <f t="shared" si="35"/>
        <v>2381.9622269456113</v>
      </c>
      <c r="CM27" s="27">
        <f t="shared" si="36"/>
        <v>49337.06291985089</v>
      </c>
      <c r="CO27">
        <f>'Ch-exr of biomass'!$E$34</f>
        <v>63893.670989028738</v>
      </c>
      <c r="CQ27" s="3">
        <v>0.9</v>
      </c>
      <c r="CS27" s="13">
        <f t="shared" si="47"/>
        <v>0.80940382812211675</v>
      </c>
      <c r="CT27" s="13">
        <f t="shared" si="48"/>
        <v>6.6715581782002334E-2</v>
      </c>
      <c r="CU27" s="13">
        <f t="shared" si="49"/>
        <v>0.74269243001676055</v>
      </c>
    </row>
    <row r="28" spans="5:99" x14ac:dyDescent="0.25">
      <c r="E28" s="12">
        <f t="shared" si="37"/>
        <v>0.2100000000432756</v>
      </c>
      <c r="F28" s="12">
        <f t="shared" si="38"/>
        <v>0.78999999995672443</v>
      </c>
      <c r="G28" s="14">
        <f t="shared" si="39"/>
        <v>1</v>
      </c>
      <c r="H28" s="14">
        <f>H14/($H$14+$I$14+$J$14+$K$14+$L$14+$M$14+$N$14)</f>
        <v>0</v>
      </c>
      <c r="I28" s="14">
        <f t="shared" ref="I28:N28" si="58">I14/($H$14+$I$14+$J$14+$K$14+$L$14+$M$14+$N$14)</f>
        <v>0.20920692086621642</v>
      </c>
      <c r="J28" s="14">
        <f t="shared" si="58"/>
        <v>0</v>
      </c>
      <c r="K28" s="14">
        <f t="shared" si="58"/>
        <v>0.2944732305963409</v>
      </c>
      <c r="L28" s="14">
        <f t="shared" si="58"/>
        <v>0.38726521306354034</v>
      </c>
      <c r="M28" s="14">
        <f t="shared" si="58"/>
        <v>3.9114300944551392E-7</v>
      </c>
      <c r="N28" s="14">
        <f t="shared" si="58"/>
        <v>0.10905424433089299</v>
      </c>
      <c r="O28" s="15">
        <f t="shared" si="41"/>
        <v>1</v>
      </c>
      <c r="P28">
        <f>'ASPEN Ex air'!O17</f>
        <v>-12532.7912</v>
      </c>
      <c r="Q28">
        <f>'ASPEN Ex air'!P17</f>
        <v>456086393</v>
      </c>
      <c r="R28">
        <f>'ASPEN Ex air'!Q17</f>
        <v>-10332670.6</v>
      </c>
      <c r="T28">
        <f t="shared" si="42"/>
        <v>-12532.7912</v>
      </c>
      <c r="U28">
        <f>'ASPEN Ex air'!R17</f>
        <v>95443729.200000003</v>
      </c>
      <c r="V28">
        <f>'ASPEN Ex air'!S17</f>
        <v>-50940792.299999997</v>
      </c>
      <c r="X28">
        <v>298</v>
      </c>
      <c r="Z28">
        <f>'ASPEN Ex air'!T17</f>
        <v>4233.3923999999997</v>
      </c>
      <c r="AA28">
        <f>'ASPEN Ex air'!U17</f>
        <v>97002.363599999997</v>
      </c>
      <c r="AB28">
        <f>'ASPEN Ex air'!V17</f>
        <v>90007.897899999996</v>
      </c>
      <c r="AD28">
        <f t="shared" si="43"/>
        <v>4233.3923999999997</v>
      </c>
      <c r="AE28">
        <f>'ASPEN Ex air'!W17</f>
        <v>-393623.51799999998</v>
      </c>
      <c r="AF28">
        <f>'ASPEN Ex air'!X17</f>
        <v>36534.178599999999</v>
      </c>
      <c r="AJ28">
        <f t="shared" si="1"/>
        <v>0</v>
      </c>
      <c r="AK28">
        <f t="shared" si="2"/>
        <v>214436151.08320004</v>
      </c>
      <c r="AL28">
        <f t="shared" si="3"/>
        <v>24672953.348599996</v>
      </c>
      <c r="AN28">
        <f t="shared" si="4"/>
        <v>0</v>
      </c>
      <c r="AO28">
        <f t="shared" si="5"/>
        <v>214.43615108320003</v>
      </c>
      <c r="AP28">
        <f t="shared" si="6"/>
        <v>24.672953348599997</v>
      </c>
      <c r="AT28">
        <f t="shared" si="7"/>
        <v>0.83370000017180412</v>
      </c>
      <c r="AU28">
        <f t="shared" si="8"/>
        <v>0.56879999996884156</v>
      </c>
      <c r="AV28">
        <f t="shared" si="9"/>
        <v>4458.1845000000003</v>
      </c>
      <c r="AW28">
        <f t="shared" si="10"/>
        <v>0</v>
      </c>
      <c r="AX28">
        <f t="shared" si="11"/>
        <v>0.15062898302367581</v>
      </c>
      <c r="AY28">
        <f t="shared" si="12"/>
        <v>0</v>
      </c>
      <c r="AZ28">
        <f t="shared" si="13"/>
        <v>69.525129743796086</v>
      </c>
      <c r="BA28">
        <f t="shared" si="14"/>
        <v>106.50180624460423</v>
      </c>
      <c r="BB28">
        <f t="shared" si="15"/>
        <v>7.7485430171156303E-6</v>
      </c>
      <c r="BC28">
        <f t="shared" si="16"/>
        <v>90.694962297787157</v>
      </c>
      <c r="BE28">
        <f t="shared" si="17"/>
        <v>1.4025000001406456</v>
      </c>
      <c r="BF28">
        <f t="shared" si="18"/>
        <v>4458.1845000000003</v>
      </c>
      <c r="BG28">
        <f t="shared" si="19"/>
        <v>266.87253501775416</v>
      </c>
      <c r="BI28" s="15">
        <f t="shared" si="44"/>
        <v>-0.32773602715984274</v>
      </c>
      <c r="BJ28" s="15">
        <f t="shared" si="45"/>
        <v>-0.18622064351471976</v>
      </c>
      <c r="BK28" s="15"/>
      <c r="BL28" s="15"/>
      <c r="BM28" s="15">
        <f t="shared" si="20"/>
        <v>-0.32728988965788808</v>
      </c>
      <c r="BN28" s="15"/>
      <c r="BO28" s="15">
        <f t="shared" si="21"/>
        <v>-0.36001330647584018</v>
      </c>
      <c r="BP28" s="15">
        <f t="shared" si="22"/>
        <v>-0.36737740771785721</v>
      </c>
      <c r="BQ28" s="15">
        <f t="shared" si="23"/>
        <v>-5.770999291894363E-6</v>
      </c>
      <c r="BR28" s="15">
        <f t="shared" si="24"/>
        <v>-0.24165437595617958</v>
      </c>
      <c r="BT28" s="15">
        <f t="shared" si="25"/>
        <v>-0.51395667067456252</v>
      </c>
      <c r="BU28" s="15">
        <f t="shared" si="26"/>
        <v>0</v>
      </c>
      <c r="BV28" s="15">
        <f t="shared" si="27"/>
        <v>-1.296340750807057</v>
      </c>
      <c r="BX28">
        <f t="shared" si="46"/>
        <v>8.3143999999999996E-3</v>
      </c>
      <c r="BY28">
        <v>298.14999999999998</v>
      </c>
      <c r="CA28">
        <f t="shared" si="28"/>
        <v>0.1284330938275855</v>
      </c>
      <c r="CB28">
        <f t="shared" si="29"/>
        <v>4458.1845000000003</v>
      </c>
      <c r="CC28">
        <f t="shared" si="30"/>
        <v>263.65898620294735</v>
      </c>
      <c r="CG28">
        <f t="shared" si="31"/>
        <v>0.1284330938275855</v>
      </c>
      <c r="CH28">
        <f t="shared" si="32"/>
        <v>4672.6206510832008</v>
      </c>
      <c r="CI28">
        <f t="shared" si="33"/>
        <v>288.33193955154735</v>
      </c>
      <c r="CK28" s="27">
        <f t="shared" si="34"/>
        <v>4.4516923958902703</v>
      </c>
      <c r="CL28" s="27">
        <f t="shared" si="35"/>
        <v>1790.6289343263472</v>
      </c>
      <c r="CM28" s="27">
        <f t="shared" si="36"/>
        <v>49774.624544112114</v>
      </c>
      <c r="CO28">
        <f>'Ch-exr of biomass'!$E$34</f>
        <v>63893.670989028738</v>
      </c>
      <c r="CQ28" s="3">
        <v>1</v>
      </c>
      <c r="CS28" s="13">
        <f t="shared" si="47"/>
        <v>0.80699168167312429</v>
      </c>
      <c r="CT28" s="13">
        <f t="shared" si="48"/>
        <v>6.7948161267123372E-2</v>
      </c>
      <c r="CU28" s="13">
        <f t="shared" si="49"/>
        <v>0.73904825425889253</v>
      </c>
    </row>
    <row r="30" spans="5:99" x14ac:dyDescent="0.25">
      <c r="CG30" t="s">
        <v>112</v>
      </c>
      <c r="CK30" t="s">
        <v>113</v>
      </c>
    </row>
    <row r="32" spans="5:99" x14ac:dyDescent="0.25">
      <c r="CG32" s="19" t="s">
        <v>99</v>
      </c>
      <c r="CH32" s="19" t="s">
        <v>100</v>
      </c>
      <c r="CI32" s="19" t="s">
        <v>101</v>
      </c>
      <c r="CK32" s="19" t="s">
        <v>99</v>
      </c>
      <c r="CL32" s="19" t="s">
        <v>100</v>
      </c>
      <c r="CM32" s="19" t="s">
        <v>101</v>
      </c>
      <c r="CQ32" s="3" t="str">
        <f>CQ17</f>
        <v xml:space="preserve">Air (kg/s)  </v>
      </c>
      <c r="CR32" t="s">
        <v>105</v>
      </c>
      <c r="CS32" t="s">
        <v>103</v>
      </c>
      <c r="CT32" t="s">
        <v>119</v>
      </c>
    </row>
    <row r="33" spans="85:98" x14ac:dyDescent="0.25">
      <c r="CG33" s="5">
        <f t="shared" ref="CG33:CG43" si="59">AN18*(E4+F4)*1000</f>
        <v>0</v>
      </c>
      <c r="CH33" s="5">
        <f t="shared" ref="CH33:CH43" si="60">AO18*G4*1000</f>
        <v>370.12098920467145</v>
      </c>
      <c r="CI33">
        <f t="shared" ref="CI33:CI43" si="61">AP18*SUM(H4:N4)*1000</f>
        <v>3169.8913422450314</v>
      </c>
      <c r="CK33" s="5">
        <f t="shared" ref="CK33:CK43" si="62">CA18*(E4+F4)*1000</f>
        <v>4.4516923958902712E-3</v>
      </c>
      <c r="CL33" s="5">
        <f t="shared" ref="CL33:CL43" si="63">CB18*G4*1000</f>
        <v>7838.2515030227105</v>
      </c>
      <c r="CM33">
        <f t="shared" ref="CM33:CM43" si="64">CC18*SUM(H4:N4)*1000</f>
        <v>41819.768839860306</v>
      </c>
      <c r="CQ33" s="3">
        <f>CQ18</f>
        <v>0</v>
      </c>
      <c r="CR33" s="27">
        <f>CM18</f>
        <v>44989.660182105341</v>
      </c>
      <c r="CS33" s="27">
        <f>CL18</f>
        <v>8208.3724922273814</v>
      </c>
      <c r="CT33" s="27">
        <f>CO18</f>
        <v>63893.670989028738</v>
      </c>
    </row>
    <row r="34" spans="85:98" x14ac:dyDescent="0.25">
      <c r="CG34" s="5">
        <f t="shared" si="59"/>
        <v>0</v>
      </c>
      <c r="CH34" s="5">
        <f t="shared" si="60"/>
        <v>341.93126707220853</v>
      </c>
      <c r="CI34">
        <f t="shared" si="61"/>
        <v>3277.4059708277814</v>
      </c>
      <c r="CK34" s="5">
        <f t="shared" si="62"/>
        <v>0.44917576206939841</v>
      </c>
      <c r="CL34" s="5">
        <f t="shared" si="63"/>
        <v>7227.1582118562746</v>
      </c>
      <c r="CM34">
        <f t="shared" si="64"/>
        <v>42183.656157646365</v>
      </c>
      <c r="CQ34" s="3">
        <f t="shared" ref="CQ34:CQ43" si="65">CQ19</f>
        <v>0.1</v>
      </c>
      <c r="CR34" s="27">
        <f t="shared" ref="CR34:CR43" si="66">CM19</f>
        <v>45461.06212847415</v>
      </c>
      <c r="CS34" s="27">
        <f t="shared" ref="CS34:CS43" si="67">CL19</f>
        <v>7569.0894789284839</v>
      </c>
      <c r="CT34" s="27">
        <f t="shared" ref="CT34:CT43" si="68">CO19</f>
        <v>63893.670989028738</v>
      </c>
    </row>
    <row r="35" spans="85:98" x14ac:dyDescent="0.25">
      <c r="CG35" s="5">
        <f t="shared" si="59"/>
        <v>0</v>
      </c>
      <c r="CH35" s="5">
        <f t="shared" si="60"/>
        <v>313.09656956470172</v>
      </c>
      <c r="CI35">
        <f t="shared" si="61"/>
        <v>3386.2144679669182</v>
      </c>
      <c r="CK35" s="5">
        <f t="shared" si="62"/>
        <v>0.89389983263113526</v>
      </c>
      <c r="CL35" s="5">
        <f t="shared" si="63"/>
        <v>6603.8523038160765</v>
      </c>
      <c r="CM35">
        <f t="shared" si="64"/>
        <v>42559.164365950252</v>
      </c>
      <c r="CQ35" s="3">
        <f t="shared" si="65"/>
        <v>0.2</v>
      </c>
      <c r="CR35" s="27">
        <f t="shared" si="66"/>
        <v>45945.378833917159</v>
      </c>
      <c r="CS35" s="27">
        <f t="shared" si="67"/>
        <v>6916.9488733807775</v>
      </c>
      <c r="CT35" s="27">
        <f t="shared" si="68"/>
        <v>63893.670989028738</v>
      </c>
    </row>
    <row r="36" spans="85:98" x14ac:dyDescent="0.25">
      <c r="CG36" s="5">
        <f t="shared" si="59"/>
        <v>0</v>
      </c>
      <c r="CH36" s="5">
        <f t="shared" si="60"/>
        <v>283.87676580034707</v>
      </c>
      <c r="CI36">
        <f t="shared" si="61"/>
        <v>3495.8216703624184</v>
      </c>
      <c r="CK36" s="5">
        <f t="shared" si="62"/>
        <v>1.338623903294125</v>
      </c>
      <c r="CL36" s="5">
        <f t="shared" si="63"/>
        <v>5974.7206185986552</v>
      </c>
      <c r="CM36">
        <f t="shared" si="64"/>
        <v>42940.634016533608</v>
      </c>
      <c r="CQ36" s="3">
        <f t="shared" si="65"/>
        <v>0.3</v>
      </c>
      <c r="CR36" s="27">
        <f t="shared" si="66"/>
        <v>46436.455686896028</v>
      </c>
      <c r="CS36" s="27">
        <f t="shared" si="67"/>
        <v>6258.5973843990023</v>
      </c>
      <c r="CT36" s="27">
        <f t="shared" si="68"/>
        <v>63893.670989028738</v>
      </c>
    </row>
    <row r="37" spans="85:98" x14ac:dyDescent="0.25">
      <c r="CG37" s="5">
        <f t="shared" si="59"/>
        <v>0</v>
      </c>
      <c r="CH37" s="5">
        <f t="shared" si="60"/>
        <v>254.43932785784358</v>
      </c>
      <c r="CI37">
        <f t="shared" si="61"/>
        <v>3605.909031305287</v>
      </c>
      <c r="CK37" s="5">
        <f t="shared" si="62"/>
        <v>1.7833479708998534</v>
      </c>
      <c r="CL37" s="5">
        <f t="shared" si="63"/>
        <v>5343.7222023673958</v>
      </c>
      <c r="CM37">
        <f t="shared" si="64"/>
        <v>43324.549059549303</v>
      </c>
      <c r="CQ37" s="3">
        <f t="shared" si="65"/>
        <v>0.4</v>
      </c>
      <c r="CR37" s="27">
        <f t="shared" si="66"/>
        <v>46930.45809085459</v>
      </c>
      <c r="CS37" s="27">
        <f t="shared" si="67"/>
        <v>5598.1615302252385</v>
      </c>
      <c r="CT37" s="27">
        <f t="shared" si="68"/>
        <v>63893.670989028738</v>
      </c>
    </row>
    <row r="38" spans="85:98" x14ac:dyDescent="0.25">
      <c r="CG38" s="5">
        <f t="shared" si="59"/>
        <v>0</v>
      </c>
      <c r="CH38" s="5">
        <f t="shared" si="60"/>
        <v>224.92068532549098</v>
      </c>
      <c r="CI38">
        <f t="shared" si="61"/>
        <v>3716.2160803948332</v>
      </c>
      <c r="CK38" s="5">
        <f t="shared" si="62"/>
        <v>2.2280720415628434</v>
      </c>
      <c r="CL38" s="5">
        <f t="shared" si="63"/>
        <v>4713.9233498395506</v>
      </c>
      <c r="CM38">
        <f t="shared" si="64"/>
        <v>43708.205485581238</v>
      </c>
      <c r="CQ38" s="3">
        <f t="shared" si="65"/>
        <v>0.5</v>
      </c>
      <c r="CR38" s="27">
        <f t="shared" si="66"/>
        <v>47424.421565976074</v>
      </c>
      <c r="CS38" s="27">
        <f t="shared" si="67"/>
        <v>4938.8440351650424</v>
      </c>
      <c r="CT38" s="27">
        <f t="shared" si="68"/>
        <v>63893.670989028738</v>
      </c>
    </row>
    <row r="39" spans="85:98" x14ac:dyDescent="0.25">
      <c r="CG39" s="5">
        <f t="shared" si="59"/>
        <v>0</v>
      </c>
      <c r="CH39" s="5">
        <f t="shared" si="60"/>
        <v>195.45540748375345</v>
      </c>
      <c r="CI39">
        <f t="shared" si="61"/>
        <v>3826.4819223322515</v>
      </c>
      <c r="CK39" s="5">
        <f t="shared" si="62"/>
        <v>2.6727961122258264</v>
      </c>
      <c r="CL39" s="5">
        <f t="shared" si="63"/>
        <v>4088.2068211928795</v>
      </c>
      <c r="CM39">
        <f t="shared" si="64"/>
        <v>44089.096594469789</v>
      </c>
      <c r="CQ39" s="3">
        <f t="shared" si="65"/>
        <v>0.6</v>
      </c>
      <c r="CR39" s="27">
        <f t="shared" si="66"/>
        <v>47915.578516802045</v>
      </c>
      <c r="CS39" s="27">
        <f t="shared" si="67"/>
        <v>4283.6622286766324</v>
      </c>
      <c r="CT39" s="27">
        <f t="shared" si="68"/>
        <v>63893.670989028738</v>
      </c>
    </row>
    <row r="40" spans="85:98" x14ac:dyDescent="0.25">
      <c r="CG40" s="5">
        <f t="shared" si="59"/>
        <v>0</v>
      </c>
      <c r="CH40" s="5">
        <f t="shared" si="60"/>
        <v>166.19939859219195</v>
      </c>
      <c r="CI40">
        <f t="shared" si="61"/>
        <v>3936.4056527214175</v>
      </c>
      <c r="CK40" s="5">
        <f t="shared" si="62"/>
        <v>3.1175201828888119</v>
      </c>
      <c r="CL40" s="5">
        <f t="shared" si="63"/>
        <v>3469.7917689165888</v>
      </c>
      <c r="CM40">
        <f t="shared" si="64"/>
        <v>44464.466342574</v>
      </c>
      <c r="CQ40" s="3">
        <f t="shared" si="65"/>
        <v>0.7</v>
      </c>
      <c r="CR40" s="27">
        <f t="shared" si="66"/>
        <v>48400.87199529542</v>
      </c>
      <c r="CS40" s="27">
        <f t="shared" si="67"/>
        <v>3635.991167508781</v>
      </c>
      <c r="CT40" s="27">
        <f t="shared" si="68"/>
        <v>63893.670989028738</v>
      </c>
    </row>
    <row r="41" spans="85:98" x14ac:dyDescent="0.25">
      <c r="CG41" s="5">
        <f t="shared" si="59"/>
        <v>0</v>
      </c>
      <c r="CH41" s="5">
        <f t="shared" si="60"/>
        <v>137.35373967933592</v>
      </c>
      <c r="CI41">
        <f t="shared" si="61"/>
        <v>4045.5961325549711</v>
      </c>
      <c r="CK41" s="5">
        <f t="shared" si="62"/>
        <v>3.562244253551802</v>
      </c>
      <c r="CL41" s="5">
        <f t="shared" si="63"/>
        <v>2862.7458360902942</v>
      </c>
      <c r="CM41">
        <f t="shared" si="64"/>
        <v>44830.876905014753</v>
      </c>
      <c r="CQ41" s="3">
        <f t="shared" si="65"/>
        <v>0.8</v>
      </c>
      <c r="CR41" s="27">
        <f t="shared" si="66"/>
        <v>48876.473037569733</v>
      </c>
      <c r="CS41" s="27">
        <f t="shared" si="67"/>
        <v>3000.0995757696301</v>
      </c>
      <c r="CT41" s="27">
        <f t="shared" si="68"/>
        <v>63893.670989028738</v>
      </c>
    </row>
    <row r="42" spans="85:98" x14ac:dyDescent="0.25">
      <c r="CG42" s="5">
        <f t="shared" si="59"/>
        <v>0</v>
      </c>
      <c r="CH42" s="5">
        <f t="shared" si="60"/>
        <v>109.20230496825891</v>
      </c>
      <c r="CI42">
        <f t="shared" si="61"/>
        <v>4153.5011272526372</v>
      </c>
      <c r="CK42" s="5">
        <f t="shared" si="62"/>
        <v>4.006968325227299</v>
      </c>
      <c r="CL42" s="5">
        <f t="shared" si="63"/>
        <v>2272.7599219773524</v>
      </c>
      <c r="CM42">
        <f t="shared" si="64"/>
        <v>45183.561792598259</v>
      </c>
      <c r="CQ42" s="3">
        <f t="shared" si="65"/>
        <v>0.9</v>
      </c>
      <c r="CR42" s="27">
        <f t="shared" si="66"/>
        <v>49337.06291985089</v>
      </c>
      <c r="CS42" s="27">
        <f t="shared" si="67"/>
        <v>2381.9622269456113</v>
      </c>
      <c r="CT42" s="27">
        <f t="shared" si="68"/>
        <v>63893.670989028738</v>
      </c>
    </row>
    <row r="43" spans="85:98" x14ac:dyDescent="0.25">
      <c r="CG43" s="5">
        <f t="shared" si="59"/>
        <v>0</v>
      </c>
      <c r="CH43" s="5">
        <f t="shared" si="60"/>
        <v>82.175636621847616</v>
      </c>
      <c r="CI43">
        <f t="shared" si="61"/>
        <v>4259.281823689199</v>
      </c>
      <c r="CK43" s="5">
        <f t="shared" si="62"/>
        <v>4.4516923958902703</v>
      </c>
      <c r="CL43" s="5">
        <f t="shared" si="63"/>
        <v>1708.4532977044994</v>
      </c>
      <c r="CM43">
        <f t="shared" si="64"/>
        <v>45515.342720422916</v>
      </c>
      <c r="CQ43" s="3">
        <f t="shared" si="65"/>
        <v>1</v>
      </c>
      <c r="CR43" s="27">
        <f t="shared" si="66"/>
        <v>49774.624544112114</v>
      </c>
      <c r="CS43" s="27">
        <f t="shared" si="67"/>
        <v>1790.6289343263472</v>
      </c>
      <c r="CT43" s="27">
        <f t="shared" si="68"/>
        <v>63893.670989028738</v>
      </c>
    </row>
    <row r="44" spans="85:98" x14ac:dyDescent="0.25">
      <c r="CG44" s="5"/>
      <c r="CH44" s="5"/>
      <c r="CQ44" s="3"/>
      <c r="CR44" s="27"/>
      <c r="CS44" s="27"/>
      <c r="CT44" s="27"/>
    </row>
    <row r="45" spans="85:98" x14ac:dyDescent="0.25">
      <c r="CG45" s="5"/>
      <c r="CH45" s="5"/>
      <c r="CQ45" s="3"/>
      <c r="CR45" s="27"/>
      <c r="CS45" s="27"/>
      <c r="CT45" s="27"/>
    </row>
    <row r="46" spans="85:98" x14ac:dyDescent="0.25">
      <c r="CQ46" s="3"/>
      <c r="CR46" s="27"/>
      <c r="CS46" s="27"/>
      <c r="CT46" s="27"/>
    </row>
    <row r="47" spans="85:98" x14ac:dyDescent="0.25">
      <c r="CQ47" s="3"/>
      <c r="CR47" s="27"/>
      <c r="CS47" s="27"/>
      <c r="CT47" s="27"/>
    </row>
    <row r="48" spans="85:98" x14ac:dyDescent="0.25">
      <c r="CQ48" s="3"/>
      <c r="CR48" s="27"/>
      <c r="CS48" s="27"/>
      <c r="CT48" s="27"/>
    </row>
    <row r="49" spans="95:98" x14ac:dyDescent="0.25">
      <c r="CQ49" s="3"/>
      <c r="CR49" s="27"/>
      <c r="CS49" s="27"/>
      <c r="CT49" s="27"/>
    </row>
    <row r="50" spans="95:98" x14ac:dyDescent="0.25">
      <c r="CQ50" s="3"/>
      <c r="CR50" s="27"/>
      <c r="CS50" s="27"/>
      <c r="CT50" s="27"/>
    </row>
    <row r="51" spans="95:98" x14ac:dyDescent="0.25">
      <c r="CQ51" s="3"/>
      <c r="CR51" s="27"/>
      <c r="CS51" s="27"/>
      <c r="CT51" s="27"/>
    </row>
    <row r="52" spans="95:98" x14ac:dyDescent="0.25">
      <c r="CQ52" s="3"/>
      <c r="CR52" s="27"/>
      <c r="CS52" s="27"/>
      <c r="CT52" s="27"/>
    </row>
    <row r="53" spans="95:98" x14ac:dyDescent="0.25">
      <c r="CQ53" s="3"/>
      <c r="CR53" s="27"/>
      <c r="CS53" s="27"/>
      <c r="CT53" s="27"/>
    </row>
    <row r="54" spans="95:98" x14ac:dyDescent="0.25">
      <c r="CQ54" s="3"/>
    </row>
  </sheetData>
  <mergeCells count="8">
    <mergeCell ref="BL15:BR15"/>
    <mergeCell ref="E1:F1"/>
    <mergeCell ref="G1:N1"/>
    <mergeCell ref="AJ16:AL16"/>
    <mergeCell ref="AN16:AP16"/>
    <mergeCell ref="AT15:AU15"/>
    <mergeCell ref="AW15:BC15"/>
    <mergeCell ref="BI15:BJ15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7"/>
  <sheetViews>
    <sheetView tabSelected="1" workbookViewId="0">
      <selection activeCell="M22" sqref="M22"/>
    </sheetView>
  </sheetViews>
  <sheetFormatPr defaultRowHeight="15" x14ac:dyDescent="0.25"/>
  <sheetData>
    <row r="1" spans="1:28" x14ac:dyDescent="0.25">
      <c r="A1" t="s">
        <v>52</v>
      </c>
    </row>
    <row r="2" spans="1:28" x14ac:dyDescent="0.25">
      <c r="B2" t="s">
        <v>54</v>
      </c>
      <c r="C2" t="s">
        <v>67</v>
      </c>
      <c r="D2" s="26" t="s">
        <v>68</v>
      </c>
      <c r="E2" s="26" t="s">
        <v>69</v>
      </c>
      <c r="F2" s="9" t="s">
        <v>70</v>
      </c>
      <c r="G2" s="1" t="s">
        <v>71</v>
      </c>
      <c r="H2" s="11" t="s">
        <v>72</v>
      </c>
      <c r="I2" s="11" t="s">
        <v>73</v>
      </c>
      <c r="J2" s="11" t="s">
        <v>74</v>
      </c>
      <c r="K2" s="11" t="s">
        <v>75</v>
      </c>
      <c r="L2" s="11" t="s">
        <v>76</v>
      </c>
      <c r="M2" s="11" t="s">
        <v>77</v>
      </c>
      <c r="N2" s="11" t="s">
        <v>78</v>
      </c>
      <c r="O2" t="s">
        <v>81</v>
      </c>
      <c r="P2" t="s">
        <v>82</v>
      </c>
      <c r="Q2" t="s">
        <v>83</v>
      </c>
      <c r="R2" t="s">
        <v>84</v>
      </c>
      <c r="S2" t="s">
        <v>85</v>
      </c>
      <c r="T2" t="s">
        <v>55</v>
      </c>
      <c r="U2" t="s">
        <v>86</v>
      </c>
      <c r="V2" t="s">
        <v>87</v>
      </c>
      <c r="W2" t="s">
        <v>88</v>
      </c>
      <c r="X2" t="s">
        <v>89</v>
      </c>
      <c r="Y2" t="s">
        <v>92</v>
      </c>
      <c r="Z2" t="s">
        <v>93</v>
      </c>
      <c r="AA2" t="s">
        <v>94</v>
      </c>
      <c r="AB2" t="s">
        <v>95</v>
      </c>
    </row>
    <row r="3" spans="1:28" x14ac:dyDescent="0.25">
      <c r="B3" t="s">
        <v>56</v>
      </c>
    </row>
    <row r="4" spans="1:28" x14ac:dyDescent="0.25">
      <c r="B4" t="s">
        <v>57</v>
      </c>
    </row>
    <row r="5" spans="1:28" x14ac:dyDescent="0.25">
      <c r="B5" t="s">
        <v>58</v>
      </c>
    </row>
    <row r="6" spans="1:28" x14ac:dyDescent="0.25">
      <c r="B6" t="s">
        <v>59</v>
      </c>
      <c r="C6" t="s">
        <v>64</v>
      </c>
      <c r="D6" t="s">
        <v>64</v>
      </c>
      <c r="E6" t="s">
        <v>64</v>
      </c>
      <c r="F6" t="s">
        <v>64</v>
      </c>
      <c r="G6" t="s">
        <v>64</v>
      </c>
      <c r="H6" t="s">
        <v>64</v>
      </c>
      <c r="I6" t="s">
        <v>64</v>
      </c>
      <c r="J6" t="s">
        <v>64</v>
      </c>
      <c r="K6" t="s">
        <v>64</v>
      </c>
      <c r="L6" t="s">
        <v>64</v>
      </c>
      <c r="M6" t="s">
        <v>64</v>
      </c>
      <c r="N6" t="s">
        <v>64</v>
      </c>
      <c r="O6" t="s">
        <v>90</v>
      </c>
      <c r="P6" t="s">
        <v>90</v>
      </c>
      <c r="Q6" t="s">
        <v>90</v>
      </c>
      <c r="R6" t="s">
        <v>90</v>
      </c>
      <c r="S6" t="s">
        <v>90</v>
      </c>
      <c r="T6" t="s">
        <v>91</v>
      </c>
      <c r="U6" t="s">
        <v>91</v>
      </c>
      <c r="V6" t="s">
        <v>91</v>
      </c>
      <c r="W6" t="s">
        <v>91</v>
      </c>
      <c r="X6" t="s">
        <v>91</v>
      </c>
      <c r="Y6" t="s">
        <v>90</v>
      </c>
      <c r="Z6" t="s">
        <v>91</v>
      </c>
      <c r="AA6" t="s">
        <v>90</v>
      </c>
      <c r="AB6" t="s">
        <v>91</v>
      </c>
    </row>
    <row r="7" spans="1:28" x14ac:dyDescent="0.25">
      <c r="A7">
        <v>1</v>
      </c>
      <c r="B7" s="5">
        <v>1E-3</v>
      </c>
      <c r="C7">
        <v>0</v>
      </c>
      <c r="D7" s="5">
        <v>7.2789292499999999E-6</v>
      </c>
      <c r="E7" s="5">
        <v>2.7382638600000001E-5</v>
      </c>
      <c r="F7" s="5">
        <v>1.7581711799999999E-3</v>
      </c>
      <c r="G7">
        <v>7.0000000000000001E-3</v>
      </c>
      <c r="H7">
        <v>0</v>
      </c>
      <c r="I7">
        <v>8.0725720700000007E-3</v>
      </c>
      <c r="J7">
        <v>0</v>
      </c>
      <c r="K7">
        <v>3.8936366600000001E-2</v>
      </c>
      <c r="L7">
        <v>5.2309995499999998E-2</v>
      </c>
      <c r="M7" s="5">
        <v>5.0104511300000002E-8</v>
      </c>
      <c r="N7">
        <v>2.23687729E-2</v>
      </c>
      <c r="O7">
        <v>-12532.7912</v>
      </c>
      <c r="P7">
        <v>451151988</v>
      </c>
      <c r="Q7">
        <v>-18432214.199999999</v>
      </c>
      <c r="R7">
        <v>95447558.5</v>
      </c>
      <c r="S7">
        <v>-61221989.899999999</v>
      </c>
      <c r="T7">
        <v>4233.3923999999997</v>
      </c>
      <c r="U7">
        <v>93588.088099999994</v>
      </c>
      <c r="V7">
        <v>89843.080799999996</v>
      </c>
      <c r="W7">
        <v>-393625.55800000002</v>
      </c>
      <c r="X7">
        <v>33667.275999999998</v>
      </c>
    </row>
    <row r="8" spans="1:28" x14ac:dyDescent="0.25">
      <c r="A8">
        <v>2</v>
      </c>
      <c r="B8">
        <v>0.1009</v>
      </c>
      <c r="C8">
        <v>0</v>
      </c>
      <c r="D8" s="5">
        <v>7.3444396100000005E-4</v>
      </c>
      <c r="E8" s="5">
        <v>2.7629082300000001E-3</v>
      </c>
      <c r="F8" s="5">
        <v>1.62109895E-3</v>
      </c>
      <c r="G8">
        <v>7.0000000000000001E-3</v>
      </c>
      <c r="H8">
        <v>0</v>
      </c>
      <c r="I8">
        <v>1.08766338E-2</v>
      </c>
      <c r="J8">
        <v>0</v>
      </c>
      <c r="K8">
        <v>4.0131405299999999E-2</v>
      </c>
      <c r="L8">
        <v>5.3764353399999999E-2</v>
      </c>
      <c r="M8" s="5">
        <v>5.1581250899999999E-8</v>
      </c>
      <c r="N8">
        <v>2.2011176100000002E-2</v>
      </c>
      <c r="O8">
        <v>-12532.7912</v>
      </c>
      <c r="P8">
        <v>451672025</v>
      </c>
      <c r="Q8">
        <v>-17341305</v>
      </c>
      <c r="R8">
        <v>95449510.599999994</v>
      </c>
      <c r="S8">
        <v>-59819341.299999997</v>
      </c>
      <c r="T8">
        <v>4233.3923999999997</v>
      </c>
      <c r="U8">
        <v>93946.936600000001</v>
      </c>
      <c r="V8">
        <v>89966.3269</v>
      </c>
      <c r="W8">
        <v>-393626.60499999998</v>
      </c>
      <c r="X8">
        <v>34168.854599999999</v>
      </c>
    </row>
    <row r="9" spans="1:28" x14ac:dyDescent="0.25">
      <c r="A9">
        <v>3</v>
      </c>
      <c r="B9">
        <v>0.20080000000000001</v>
      </c>
      <c r="C9">
        <v>0</v>
      </c>
      <c r="D9">
        <v>1.46160899E-3</v>
      </c>
      <c r="E9">
        <v>5.4984338299999998E-3</v>
      </c>
      <c r="F9" s="5">
        <v>1.4812873500000001E-3</v>
      </c>
      <c r="G9">
        <v>7.0000000000000001E-3</v>
      </c>
      <c r="H9">
        <v>0</v>
      </c>
      <c r="I9">
        <v>1.3682065199999999E-2</v>
      </c>
      <c r="J9">
        <v>0</v>
      </c>
      <c r="K9">
        <v>4.1292249199999999E-2</v>
      </c>
      <c r="L9">
        <v>5.5218704899999999E-2</v>
      </c>
      <c r="M9" s="5">
        <v>5.2879377099999999E-8</v>
      </c>
      <c r="N9">
        <v>2.1675460600000002E-2</v>
      </c>
      <c r="O9">
        <v>-12532.7912</v>
      </c>
      <c r="P9">
        <v>452230712</v>
      </c>
      <c r="Q9">
        <v>-16335749.699999999</v>
      </c>
      <c r="R9">
        <v>95450657.900000006</v>
      </c>
      <c r="S9">
        <v>-58542313.399999999</v>
      </c>
      <c r="T9">
        <v>4233.3923999999997</v>
      </c>
      <c r="U9">
        <v>94333.088600000003</v>
      </c>
      <c r="V9">
        <v>90045.653099999996</v>
      </c>
      <c r="W9">
        <v>-393627.22100000002</v>
      </c>
      <c r="X9">
        <v>34583.073499999999</v>
      </c>
    </row>
    <row r="10" spans="1:28" x14ac:dyDescent="0.25">
      <c r="A10">
        <v>4</v>
      </c>
      <c r="B10">
        <v>0.30070000000000002</v>
      </c>
      <c r="C10">
        <v>0</v>
      </c>
      <c r="D10">
        <v>2.18877402E-3</v>
      </c>
      <c r="E10">
        <v>8.2339594299999999E-3</v>
      </c>
      <c r="F10" s="5">
        <v>1.34016899E-3</v>
      </c>
      <c r="G10">
        <v>7.0000000000000001E-3</v>
      </c>
      <c r="H10">
        <v>0</v>
      </c>
      <c r="I10">
        <v>1.648815E-2</v>
      </c>
      <c r="J10">
        <v>0</v>
      </c>
      <c r="K10">
        <v>4.2436786800000001E-2</v>
      </c>
      <c r="L10">
        <v>5.6673052600000003E-2</v>
      </c>
      <c r="M10" s="5">
        <v>5.4116893000000003E-8</v>
      </c>
      <c r="N10">
        <v>2.1350179E-2</v>
      </c>
      <c r="O10">
        <v>-12532.7912</v>
      </c>
      <c r="P10">
        <v>452803122</v>
      </c>
      <c r="Q10">
        <v>-15403651.6</v>
      </c>
      <c r="R10">
        <v>95451286.200000003</v>
      </c>
      <c r="S10">
        <v>-57367978.399999999</v>
      </c>
      <c r="T10">
        <v>4233.3923999999997</v>
      </c>
      <c r="U10">
        <v>94728.870699999999</v>
      </c>
      <c r="V10">
        <v>90094.1103</v>
      </c>
      <c r="W10">
        <v>-393627.56</v>
      </c>
      <c r="X10">
        <v>34933.932999999997</v>
      </c>
    </row>
    <row r="11" spans="1:28" x14ac:dyDescent="0.25">
      <c r="A11">
        <v>5</v>
      </c>
      <c r="B11">
        <v>0.40060000000000001</v>
      </c>
      <c r="C11">
        <v>0</v>
      </c>
      <c r="D11">
        <v>2.91593906E-3</v>
      </c>
      <c r="E11">
        <v>1.0969484999999999E-2</v>
      </c>
      <c r="F11" s="5">
        <v>1.19863191E-3</v>
      </c>
      <c r="G11">
        <v>7.0000000000000001E-3</v>
      </c>
      <c r="H11">
        <v>0</v>
      </c>
      <c r="I11">
        <v>1.9294444099999999E-2</v>
      </c>
      <c r="J11">
        <v>0</v>
      </c>
      <c r="K11">
        <v>4.3576108400000001E-2</v>
      </c>
      <c r="L11">
        <v>5.81273977E-2</v>
      </c>
      <c r="M11" s="5">
        <v>5.5369620700000002E-8</v>
      </c>
      <c r="N11">
        <v>2.1028234400000002E-2</v>
      </c>
      <c r="O11">
        <v>-12532.7912</v>
      </c>
      <c r="P11">
        <v>453374219</v>
      </c>
      <c r="Q11">
        <v>-14535864.9</v>
      </c>
      <c r="R11">
        <v>95451519.799999997</v>
      </c>
      <c r="S11">
        <v>-56280056.799999997</v>
      </c>
      <c r="T11">
        <v>4233.3923999999997</v>
      </c>
      <c r="U11">
        <v>95123.712700000004</v>
      </c>
      <c r="V11">
        <v>90119.987099999998</v>
      </c>
      <c r="W11">
        <v>-393627.68599999999</v>
      </c>
      <c r="X11">
        <v>35236.906799999997</v>
      </c>
    </row>
    <row r="12" spans="1:28" x14ac:dyDescent="0.25">
      <c r="A12">
        <v>6</v>
      </c>
      <c r="B12">
        <v>0.50049999999999994</v>
      </c>
      <c r="C12">
        <v>0</v>
      </c>
      <c r="D12">
        <v>3.6431040899999999E-3</v>
      </c>
      <c r="E12">
        <v>1.3705010599999999E-2</v>
      </c>
      <c r="F12" s="5">
        <v>1.0573639000000001E-3</v>
      </c>
      <c r="G12">
        <v>7.0000000000000001E-3</v>
      </c>
      <c r="H12">
        <v>0</v>
      </c>
      <c r="I12">
        <v>2.2100603699999999E-2</v>
      </c>
      <c r="J12">
        <v>0</v>
      </c>
      <c r="K12">
        <v>4.4718805799999997E-2</v>
      </c>
      <c r="L12">
        <v>5.9581740799999998E-2</v>
      </c>
      <c r="M12" s="5">
        <v>5.6699541199999998E-8</v>
      </c>
      <c r="N12">
        <v>2.0704128200000001E-2</v>
      </c>
      <c r="O12">
        <v>-12532.7912</v>
      </c>
      <c r="P12">
        <v>453932674</v>
      </c>
      <c r="Q12">
        <v>-13724962.699999999</v>
      </c>
      <c r="R12">
        <v>95451407.099999994</v>
      </c>
      <c r="S12">
        <v>-55265743.799999997</v>
      </c>
      <c r="T12">
        <v>4233.3923999999997</v>
      </c>
      <c r="U12">
        <v>95509.739799999996</v>
      </c>
      <c r="V12">
        <v>90128.797399999996</v>
      </c>
      <c r="W12">
        <v>-393627.625</v>
      </c>
      <c r="X12">
        <v>35502.952799999999</v>
      </c>
    </row>
    <row r="13" spans="1:28" x14ac:dyDescent="0.25">
      <c r="A13">
        <v>7</v>
      </c>
      <c r="B13">
        <v>0.60040000000000004</v>
      </c>
      <c r="C13">
        <v>0</v>
      </c>
      <c r="D13">
        <v>4.3702691199999999E-3</v>
      </c>
      <c r="E13">
        <v>1.6440536200000001E-2</v>
      </c>
      <c r="F13" s="5">
        <v>9.1701158199999997E-4</v>
      </c>
      <c r="G13">
        <v>7.0000000000000001E-3</v>
      </c>
      <c r="H13">
        <v>0</v>
      </c>
      <c r="I13">
        <v>2.49063055E-2</v>
      </c>
      <c r="J13">
        <v>0</v>
      </c>
      <c r="K13">
        <v>4.58729581E-2</v>
      </c>
      <c r="L13">
        <v>6.1036082300000002E-2</v>
      </c>
      <c r="M13" s="5">
        <v>5.8169465700000001E-8</v>
      </c>
      <c r="N13">
        <v>2.0372690299999999E-2</v>
      </c>
      <c r="O13">
        <v>-12532.7912</v>
      </c>
      <c r="P13">
        <v>454467941</v>
      </c>
      <c r="Q13">
        <v>-12964739.9</v>
      </c>
      <c r="R13">
        <v>95450948.400000006</v>
      </c>
      <c r="S13">
        <v>-54314236.200000003</v>
      </c>
      <c r="T13">
        <v>4233.3923999999997</v>
      </c>
      <c r="U13">
        <v>95879.707999999999</v>
      </c>
      <c r="V13">
        <v>90124.263500000001</v>
      </c>
      <c r="W13">
        <v>-393627.37800000003</v>
      </c>
      <c r="X13">
        <v>35740.415200000003</v>
      </c>
    </row>
    <row r="14" spans="1:28" x14ac:dyDescent="0.25">
      <c r="A14">
        <v>8</v>
      </c>
      <c r="B14">
        <v>0.70030000000000003</v>
      </c>
      <c r="C14">
        <v>0</v>
      </c>
      <c r="D14">
        <v>5.0974341499999999E-3</v>
      </c>
      <c r="E14">
        <v>1.9176061800000001E-2</v>
      </c>
      <c r="F14">
        <v>7.7829703300000004E-4</v>
      </c>
      <c r="G14">
        <v>7.0000000000000001E-3</v>
      </c>
      <c r="H14">
        <v>0</v>
      </c>
      <c r="I14">
        <v>2.7711188300000002E-2</v>
      </c>
      <c r="J14">
        <v>0</v>
      </c>
      <c r="K14">
        <v>4.7047588299999998E-2</v>
      </c>
      <c r="L14">
        <v>6.2490422599999998E-2</v>
      </c>
      <c r="M14" s="5">
        <v>5.98544367E-8</v>
      </c>
      <c r="N14">
        <v>2.0028145899999999E-2</v>
      </c>
      <c r="O14">
        <v>-12532.7912</v>
      </c>
      <c r="P14">
        <v>454968604</v>
      </c>
      <c r="Q14">
        <v>-12249854.1</v>
      </c>
      <c r="R14">
        <v>95450100.299999997</v>
      </c>
      <c r="S14">
        <v>-53415794</v>
      </c>
      <c r="T14">
        <v>4233.3923999999997</v>
      </c>
      <c r="U14">
        <v>96225.852499999994</v>
      </c>
      <c r="V14">
        <v>90108.868700000006</v>
      </c>
      <c r="W14">
        <v>-393626.92099999997</v>
      </c>
      <c r="X14">
        <v>35956.132400000002</v>
      </c>
    </row>
    <row r="15" spans="1:28" x14ac:dyDescent="0.25">
      <c r="A15">
        <v>9</v>
      </c>
      <c r="B15">
        <v>0.80020000000000002</v>
      </c>
      <c r="C15">
        <v>0</v>
      </c>
      <c r="D15">
        <v>5.8245991799999999E-3</v>
      </c>
      <c r="E15">
        <v>2.1911587400000002E-2</v>
      </c>
      <c r="F15">
        <v>6.4213265200000001E-4</v>
      </c>
      <c r="G15">
        <v>7.0000000000000001E-3</v>
      </c>
      <c r="H15">
        <v>0</v>
      </c>
      <c r="I15">
        <v>3.0514796100000002E-2</v>
      </c>
      <c r="J15">
        <v>0</v>
      </c>
      <c r="K15">
        <v>4.82540994E-2</v>
      </c>
      <c r="L15">
        <v>6.3944761500000002E-2</v>
      </c>
      <c r="M15" s="5">
        <v>6.1856664199999998E-8</v>
      </c>
      <c r="N15">
        <v>1.9663197399999999E-2</v>
      </c>
      <c r="O15">
        <v>-12532.7912</v>
      </c>
      <c r="P15">
        <v>455420270</v>
      </c>
      <c r="Q15">
        <v>-11575636.699999999</v>
      </c>
      <c r="R15">
        <v>95448765</v>
      </c>
      <c r="S15">
        <v>-52561005</v>
      </c>
      <c r="T15">
        <v>4233.3923999999997</v>
      </c>
      <c r="U15">
        <v>96538.449900000007</v>
      </c>
      <c r="V15">
        <v>90084.109200000006</v>
      </c>
      <c r="W15">
        <v>-393626.20500000002</v>
      </c>
      <c r="X15">
        <v>36156.187599999997</v>
      </c>
    </row>
    <row r="16" spans="1:28" x14ac:dyDescent="0.25">
      <c r="A16">
        <v>10</v>
      </c>
      <c r="B16">
        <v>0.90010000000000001</v>
      </c>
      <c r="C16">
        <v>0</v>
      </c>
      <c r="D16">
        <v>6.5517642199999998E-3</v>
      </c>
      <c r="E16">
        <v>2.4647112999999998E-2</v>
      </c>
      <c r="F16">
        <v>5.0979494499999996E-4</v>
      </c>
      <c r="G16">
        <v>7.0000000000000001E-3</v>
      </c>
      <c r="H16">
        <v>0</v>
      </c>
      <c r="I16">
        <v>3.3316490599999998E-2</v>
      </c>
      <c r="J16">
        <v>0</v>
      </c>
      <c r="K16">
        <v>4.9508445900000003E-2</v>
      </c>
      <c r="L16">
        <v>6.5399099099999997E-2</v>
      </c>
      <c r="M16" s="5">
        <v>6.4329426300000002E-8</v>
      </c>
      <c r="N16">
        <v>1.9267633900000001E-2</v>
      </c>
      <c r="O16">
        <v>-12532.7912</v>
      </c>
      <c r="P16">
        <v>455802946</v>
      </c>
      <c r="Q16">
        <v>-10937884.5</v>
      </c>
      <c r="R16">
        <v>95446757.5</v>
      </c>
      <c r="S16">
        <v>-51739916.799999997</v>
      </c>
      <c r="T16">
        <v>4233.3923999999997</v>
      </c>
      <c r="U16">
        <v>96804.049400000004</v>
      </c>
      <c r="V16">
        <v>90050.587</v>
      </c>
      <c r="W16">
        <v>-393625.13</v>
      </c>
      <c r="X16">
        <v>36346.604299999999</v>
      </c>
    </row>
    <row r="17" spans="1:24" x14ac:dyDescent="0.25">
      <c r="A17">
        <v>11</v>
      </c>
      <c r="B17">
        <v>1</v>
      </c>
      <c r="C17">
        <v>0</v>
      </c>
      <c r="D17">
        <v>7.2789292499999998E-3</v>
      </c>
      <c r="E17">
        <v>2.7382638599999998E-2</v>
      </c>
      <c r="F17">
        <v>3.8321727099999999E-4</v>
      </c>
      <c r="G17">
        <v>7.0000000000000001E-3</v>
      </c>
      <c r="H17">
        <v>0</v>
      </c>
      <c r="I17">
        <v>3.6115305E-2</v>
      </c>
      <c r="J17">
        <v>0</v>
      </c>
      <c r="K17">
        <v>5.0834793099999998E-2</v>
      </c>
      <c r="L17">
        <v>6.6853435000000003E-2</v>
      </c>
      <c r="M17" s="5">
        <v>6.7522857400000006E-8</v>
      </c>
      <c r="N17">
        <v>1.8825989500000001E-2</v>
      </c>
      <c r="O17">
        <v>-12532.7912</v>
      </c>
      <c r="P17">
        <v>456086393</v>
      </c>
      <c r="Q17">
        <v>-10332670.6</v>
      </c>
      <c r="R17">
        <v>95443729.200000003</v>
      </c>
      <c r="S17">
        <v>-50940792.299999997</v>
      </c>
      <c r="T17">
        <v>4233.3923999999997</v>
      </c>
      <c r="U17">
        <v>97002.363599999997</v>
      </c>
      <c r="V17">
        <v>90007.897899999996</v>
      </c>
      <c r="W17">
        <v>-393623.51799999998</v>
      </c>
      <c r="X17">
        <v>36534.178599999999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Ch-exr of indole</vt:lpstr>
      <vt:lpstr>Ch-exr of biomass</vt:lpstr>
      <vt:lpstr>exergy steam</vt:lpstr>
      <vt:lpstr>ASPEN Ex steam</vt:lpstr>
      <vt:lpstr>exergy air</vt:lpstr>
      <vt:lpstr>ASPEN Ex air</vt:lpstr>
    </vt:vector>
  </TitlesOfParts>
  <Company>KFUPM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Muflih Arisa Adnan</dc:creator>
  <cp:lastModifiedBy>Cholila</cp:lastModifiedBy>
  <dcterms:created xsi:type="dcterms:W3CDTF">2019-07-31T04:27:21Z</dcterms:created>
  <dcterms:modified xsi:type="dcterms:W3CDTF">2020-02-15T08:24:32Z</dcterms:modified>
</cp:coreProperties>
</file>