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5.xml" ContentType="application/vnd.ms-office.chartcolorstyle+xml"/>
  <Override PartName="/xl/charts/style1.xml" ContentType="application/vnd.ms-office.chartstyle+xml"/>
  <Override PartName="/xl/charts/style5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5"/>
  </bookViews>
  <sheets>
    <sheet name="Ch-exr of indole" sheetId="14" r:id="rId1"/>
    <sheet name="Ch-exr of biomass" sheetId="4" r:id="rId2"/>
    <sheet name="exergy steam" sheetId="9" r:id="rId3"/>
    <sheet name="ASPEN Ex steam" sheetId="13" r:id="rId4"/>
    <sheet name="exergy air" sheetId="12" r:id="rId5"/>
    <sheet name="ASPEN Ex air" sheetId="11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<sst xmlns="http://schemas.openxmlformats.org/spreadsheetml/2006/main" count="503" uniqueCount="126">
  <si>
    <t>Ph Ex = (H - H0) - T0 (S-S0)</t>
  </si>
  <si>
    <t>H</t>
  </si>
  <si>
    <t>H0</t>
  </si>
  <si>
    <t>T0</t>
  </si>
  <si>
    <t>S</t>
  </si>
  <si>
    <t>S0</t>
  </si>
  <si>
    <t>[kJ/mol]</t>
  </si>
  <si>
    <t>R</t>
  </si>
  <si>
    <t>sigma (yi(ln(yi))</t>
  </si>
  <si>
    <t>Che ex= sigma (yi.exi)+R.T0.sigma(yi(ln(yi))</t>
  </si>
  <si>
    <t>-H2O</t>
  </si>
  <si>
    <t>-N2</t>
  </si>
  <si>
    <t>-H2</t>
  </si>
  <si>
    <t>-CO</t>
  </si>
  <si>
    <t>-CO2</t>
  </si>
  <si>
    <t>-CH4</t>
  </si>
  <si>
    <t>-O2</t>
  </si>
  <si>
    <t>m</t>
  </si>
  <si>
    <t>LHV</t>
  </si>
  <si>
    <t>beta</t>
  </si>
  <si>
    <t>kg/hr</t>
  </si>
  <si>
    <t>kJ/kg</t>
  </si>
  <si>
    <t>chem-ex</t>
  </si>
  <si>
    <t>kJ/hr</t>
  </si>
  <si>
    <t>CARBON</t>
  </si>
  <si>
    <t>HYDROGEN</t>
  </si>
  <si>
    <t>NITROGEN</t>
  </si>
  <si>
    <t>SULFUR</t>
  </si>
  <si>
    <t>OXYGEN</t>
  </si>
  <si>
    <t>ultanal</t>
  </si>
  <si>
    <t>BM</t>
  </si>
  <si>
    <t>real mass (kg/hr)</t>
  </si>
  <si>
    <t>mol flow (kmol/hr)</t>
  </si>
  <si>
    <t>kmol/s</t>
  </si>
  <si>
    <t>kmol/hr</t>
  </si>
  <si>
    <t>mol/hr</t>
  </si>
  <si>
    <t>kJ/mol</t>
  </si>
  <si>
    <t>mol/s</t>
  </si>
  <si>
    <t>kJ/s</t>
  </si>
  <si>
    <t>BM biomass</t>
  </si>
  <si>
    <t>mol frac (%)</t>
  </si>
  <si>
    <t>Bm. Mol/frac</t>
  </si>
  <si>
    <t>AIR</t>
  </si>
  <si>
    <t>H2O</t>
  </si>
  <si>
    <t>N2</t>
  </si>
  <si>
    <t>O2</t>
  </si>
  <si>
    <t>H2</t>
  </si>
  <si>
    <t>CO</t>
  </si>
  <si>
    <t>CO2</t>
  </si>
  <si>
    <t>CH4</t>
  </si>
  <si>
    <t>ASH</t>
  </si>
  <si>
    <t>-Indole</t>
  </si>
  <si>
    <t>Row/Case</t>
  </si>
  <si>
    <t>Status</t>
  </si>
  <si>
    <t>VARY   1</t>
  </si>
  <si>
    <t xml:space="preserve">ENTRAIR </t>
  </si>
  <si>
    <t xml:space="preserve">AIR     </t>
  </si>
  <si>
    <t xml:space="preserve">MIXED   </t>
  </si>
  <si>
    <t xml:space="preserve">TOTAL MASSFLOW  </t>
  </si>
  <si>
    <t>KG/SEC</t>
  </si>
  <si>
    <t>K</t>
  </si>
  <si>
    <t>OK</t>
  </si>
  <si>
    <t>Warnings</t>
  </si>
  <si>
    <t>(yi(ln(yi))</t>
  </si>
  <si>
    <t>KMOL/SEC</t>
  </si>
  <si>
    <t>exergy of biomass</t>
  </si>
  <si>
    <t xml:space="preserve">STEAM   </t>
  </si>
  <si>
    <t xml:space="preserve">FLOSTEM </t>
  </si>
  <si>
    <t>FLOO2AIR</t>
  </si>
  <si>
    <t>FLON2AIR</t>
  </si>
  <si>
    <t xml:space="preserve">FLOLIQ  </t>
  </si>
  <si>
    <t xml:space="preserve">FLOASH  </t>
  </si>
  <si>
    <t xml:space="preserve">FLOH2OG </t>
  </si>
  <si>
    <t xml:space="preserve">FLON2G  </t>
  </si>
  <si>
    <t xml:space="preserve">FLOO2G  </t>
  </si>
  <si>
    <t xml:space="preserve">FLOH2G  </t>
  </si>
  <si>
    <t xml:space="preserve">FLOCOG  </t>
  </si>
  <si>
    <t xml:space="preserve">FLOCO2G </t>
  </si>
  <si>
    <t xml:space="preserve">FLOCH4G </t>
  </si>
  <si>
    <t>Reactant</t>
  </si>
  <si>
    <t>Product</t>
  </si>
  <si>
    <t xml:space="preserve">ENTLAIR </t>
  </si>
  <si>
    <t xml:space="preserve">ENTLLIQ </t>
  </si>
  <si>
    <t xml:space="preserve">ENTLGAS </t>
  </si>
  <si>
    <t>ENTLLIQC</t>
  </si>
  <si>
    <t>ENTLGASC</t>
  </si>
  <si>
    <t xml:space="preserve">ENTRLIQ </t>
  </si>
  <si>
    <t xml:space="preserve">ENTRGAS </t>
  </si>
  <si>
    <t>ENTRLIQC</t>
  </si>
  <si>
    <t>ENTRGASC</t>
  </si>
  <si>
    <t>J/KMOL</t>
  </si>
  <si>
    <t>J/KMOL-K</t>
  </si>
  <si>
    <t>ENTLSTAM</t>
  </si>
  <si>
    <t>ENTRSTAM</t>
  </si>
  <si>
    <t>ENTLSTMC</t>
  </si>
  <si>
    <t>ENTRSTMC</t>
  </si>
  <si>
    <t>ENTLAIRC</t>
  </si>
  <si>
    <t xml:space="preserve">ENTRAIRC </t>
  </si>
  <si>
    <t>steam</t>
  </si>
  <si>
    <t>air</t>
  </si>
  <si>
    <t>liquid</t>
  </si>
  <si>
    <t>gas</t>
  </si>
  <si>
    <t>J/kmol</t>
  </si>
  <si>
    <t>Liquid</t>
  </si>
  <si>
    <t>Indole</t>
  </si>
  <si>
    <t>Gas</t>
  </si>
  <si>
    <t>(yi.exi)</t>
  </si>
  <si>
    <t>sigma(yi.exi)</t>
  </si>
  <si>
    <t xml:space="preserve">T0 </t>
  </si>
  <si>
    <t>[kJ/K.mol]</t>
  </si>
  <si>
    <t>total ex= physical+chemical</t>
  </si>
  <si>
    <t>efficiency (%)</t>
  </si>
  <si>
    <t>physical*flow</t>
  </si>
  <si>
    <t>chemical*flow</t>
  </si>
  <si>
    <t>dikali flow (*1000)</t>
  </si>
  <si>
    <t xml:space="preserve">Air (kg/s)  </t>
  </si>
  <si>
    <t xml:space="preserve">H2O MASSFLOW    </t>
  </si>
  <si>
    <t>c8h7n</t>
  </si>
  <si>
    <t>chem ex</t>
  </si>
  <si>
    <t>Biomass</t>
  </si>
  <si>
    <t>Physical efficiency (%)</t>
  </si>
  <si>
    <t>Total efficiency (%)</t>
  </si>
  <si>
    <t>Chemical efficiency (%)</t>
  </si>
  <si>
    <t>Biomassa</t>
  </si>
  <si>
    <t>kg/s</t>
  </si>
  <si>
    <t>S/C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</si>
</sst>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+mn-cs"/>
      <family val="2"/>
    </font>
    <font>
      <sz val="9"/>
      <color theme="1" tint="0.35"/>
      <name val="Calibri"/>
      <family val="2"/>
    </font>
    <font>
      <sz val="9"/>
      <color rgb="FF000000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0" fontId="0" fillId="0" borderId="0" xfId="15" applyNumberFormat="1" applyFont="1"/>
    <xf numFmtId="0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/>
    <xf numFmtId="164" fontId="0" fillId="0" borderId="1" xfId="15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Fill="1" applyBorder="1" applyAlignment="1">
      <alignment horizontal="center"/>
    </xf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9" fontId="0" fillId="0" borderId="0" xfId="15" applyFont="1"/>
    <xf numFmtId="164" fontId="0" fillId="0" borderId="0" xfId="15" applyNumberFormat="1" applyFont="1"/>
    <xf numFmtId="9" fontId="0" fillId="0" borderId="0" xfId="15" applyNumberFormat="1" applyFont="1"/>
    <xf numFmtId="9" fontId="0" fillId="0" borderId="0" xfId="0" applyNumberFormat="1"/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6" borderId="0" xfId="0" applyFill="1"/>
    <xf numFmtId="0" fontId="0" fillId="5" borderId="0" xfId="0" applyFill="1" applyAlignment="1">
      <alignment/>
    </xf>
    <xf numFmtId="0" fontId="0" fillId="7" borderId="0" xfId="0" applyFill="1"/>
    <xf numFmtId="2" fontId="0" fillId="0" borderId="0" xfId="0" applyNumberFormat="1"/>
    <xf numFmtId="0" fontId="0" fillId="8" borderId="0" xfId="0" applyFill="1"/>
    <xf numFmtId="0" fontId="0" fillId="9" borderId="0" xfId="0" applyFill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'exergy steam'!$DG$17</c:f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'exergy steam'!$DF$18:$DF$28</c:f>
              <c:numCache/>
            </c:numRef>
          </c:cat>
          <c:val>
            <c:numRef>
              <c:f>'exergy steam'!$DG$18:$DG$28</c:f>
              <c:numCache/>
            </c:numRef>
          </c:val>
        </c:ser>
        <c:axId val="31431499"/>
        <c:axId val="14448036"/>
      </c:barChart>
      <c:lineChart>
        <c:grouping val="standard"/>
        <c:varyColors val="0"/>
        <c:ser>
          <c:idx val="1"/>
          <c:order val="1"/>
          <c:tx>
            <c:strRef>
              <c:f>'exergy steam'!$DH$17</c:f>
              <c:strCache>
                <c:ptCount val="1"/>
                <c:pt idx="0">
                  <c:v>efficiency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'exergy steam'!$DF$18:$DF$28</c:f>
              <c:numCache/>
            </c:numRef>
          </c:cat>
          <c:val>
            <c:numRef>
              <c:f>'exergy steam'!$DH$18:$DH$28</c:f>
              <c:numCache/>
            </c:numRef>
          </c:val>
          <c:smooth val="0"/>
        </c:ser>
        <c:marker val="1"/>
        <c:axId val="62923461"/>
        <c:axId val="29440238"/>
      </c:lineChart>
      <c:catAx>
        <c:axId val="6292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S/C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440238"/>
        <c:crosses val="autoZero"/>
        <c:auto val="1"/>
        <c:lblOffset val="100"/>
        <c:noMultiLvlLbl val="0"/>
      </c:catAx>
      <c:valAx>
        <c:axId val="29440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Exergy efficiency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923461"/>
        <c:crosses val="autoZero"/>
        <c:crossBetween val="between"/>
        <c:dispUnits/>
      </c:valAx>
      <c:catAx>
        <c:axId val="31431499"/>
        <c:scaling>
          <c:orientation val="minMax"/>
        </c:scaling>
        <c:axPos val="b"/>
        <c:delete val="1"/>
        <c:majorTickMark val="out"/>
        <c:minorTickMark val="none"/>
        <c:tickLblPos val="nextTo"/>
        <c:crossAx val="14448036"/>
        <c:crosses val="autoZero"/>
        <c:auto val="1"/>
        <c:lblOffset val="100"/>
        <c:noMultiLvlLbl val="0"/>
      </c:catAx>
      <c:valAx>
        <c:axId val="1444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4314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8675"/>
          <c:y val="0.0655"/>
          <c:w val="0.4545"/>
          <c:h val="0.078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'exergy steam'!$DI$17</c:f>
              <c:strCache>
                <c:ptCount val="1"/>
                <c:pt idx="0">
                  <c:v>Physical efficiency 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'exergy steam'!$DF$18:$DF$28</c:f>
              <c:numCache/>
            </c:numRef>
          </c:cat>
          <c:val>
            <c:numRef>
              <c:f>'exergy steam'!$DI$18:$DI$28</c:f>
              <c:numCache/>
            </c:numRef>
          </c:val>
        </c:ser>
        <c:ser>
          <c:idx val="3"/>
          <c:order val="1"/>
          <c:tx>
            <c:strRef>
              <c:f>'exergy steam'!$DJ$17</c:f>
              <c:strCache>
                <c:ptCount val="1"/>
                <c:pt idx="0">
                  <c:v>Chemical efficiency (%)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'exergy steam'!$DF$18:$DF$28</c:f>
              <c:numCache/>
            </c:numRef>
          </c:cat>
          <c:val>
            <c:numRef>
              <c:f>'exergy steam'!$DJ$18:$DJ$28</c:f>
              <c:numCache/>
            </c:numRef>
          </c:val>
        </c:ser>
        <c:overlap val="100"/>
        <c:axId val="63635551"/>
        <c:axId val="35849048"/>
      </c:barChart>
      <c:lineChart>
        <c:grouping val="standard"/>
        <c:varyColors val="0"/>
        <c:ser>
          <c:idx val="0"/>
          <c:order val="2"/>
          <c:tx>
            <c:strRef>
              <c:f>'exergy steam'!$DG$17</c:f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'exergy steam'!$DF$18:$DF$28</c:f>
              <c:numCache/>
            </c:numRef>
          </c:cat>
          <c:val>
            <c:numRef>
              <c:f>'exergy steam'!$DG$18:$DG$28</c:f>
              <c:numCache/>
            </c:numRef>
          </c:val>
          <c:smooth val="0"/>
        </c:ser>
        <c:marker val="1"/>
        <c:axId val="54205977"/>
        <c:axId val="18091746"/>
      </c:lineChart>
      <c:catAx>
        <c:axId val="6363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S/C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849048"/>
        <c:crosses val="autoZero"/>
        <c:auto val="1"/>
        <c:lblOffset val="100"/>
        <c:noMultiLvlLbl val="0"/>
      </c:catAx>
      <c:valAx>
        <c:axId val="35849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Exergy efficiency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635551"/>
        <c:crosses val="autoZero"/>
        <c:crossBetween val="between"/>
        <c:dispUnits/>
      </c:valAx>
      <c:catAx>
        <c:axId val="54205977"/>
        <c:scaling>
          <c:orientation val="minMax"/>
        </c:scaling>
        <c:axPos val="b"/>
        <c:delete val="1"/>
        <c:majorTickMark val="out"/>
        <c:minorTickMark val="none"/>
        <c:tickLblPos val="nextTo"/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2059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87"/>
          <c:y val="0.84775"/>
          <c:w val="0.71325"/>
          <c:h val="0.0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'exergy steam'!$DH$17</c:f>
              <c:strCache>
                <c:ptCount val="1"/>
                <c:pt idx="0">
                  <c:v>efficiency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'exergy steam'!$DF$18:$DF$28</c:f>
              <c:numCache/>
            </c:numRef>
          </c:cat>
          <c:val>
            <c:numRef>
              <c:f>'exergy steam'!$DH$18:$DH$28</c:f>
              <c:numCache/>
            </c:numRef>
          </c:val>
          <c:smooth val="0"/>
        </c:ser>
        <c:marker val="1"/>
        <c:axId val="28607987"/>
        <c:axId val="56145292"/>
      </c:lineChart>
      <c:catAx>
        <c:axId val="28607987"/>
        <c:scaling>
          <c:orientation val="minMax"/>
        </c:scaling>
        <c:axPos val="b"/>
        <c:delete val="0"/>
        <c:numFmt formatCode="0.0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145292"/>
        <c:crosses val="autoZero"/>
        <c:auto val="1"/>
        <c:lblOffset val="100"/>
        <c:noMultiLvlLbl val="0"/>
      </c:catAx>
      <c:valAx>
        <c:axId val="56145292"/>
        <c:scaling>
          <c:orientation val="minMax"/>
        </c:scaling>
        <c:axPos val="l"/>
        <c:delete val="0"/>
        <c:numFmt formatCode="0.0%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60798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rgbClr val="000000"/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'exergy steam'!$DG$32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'exergy air'!$CQ$18:$CQ$28</c:f>
              <c:numCache/>
            </c:numRef>
          </c:cat>
          <c:val>
            <c:numRef>
              <c:f>'exergy steam'!$DG$33:$DG$43</c:f>
              <c:numCache/>
            </c:numRef>
          </c:val>
        </c:ser>
        <c:ser>
          <c:idx val="3"/>
          <c:order val="1"/>
          <c:tx>
            <c:strRef>
              <c:f>'exergy steam'!$DF$32</c:f>
              <c:strCache>
                <c:ptCount val="1"/>
                <c:pt idx="0">
                  <c:v>Liquid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'exergy air'!$CQ$18:$CQ$28</c:f>
              <c:numCache/>
            </c:numRef>
          </c:cat>
          <c:val>
            <c:numRef>
              <c:f>'exergy steam'!$DF$33:$DF$43</c:f>
              <c:numCache/>
            </c:numRef>
          </c:val>
        </c:ser>
        <c:axId val="35545581"/>
        <c:axId val="51474774"/>
      </c:barChart>
      <c:lineChart>
        <c:grouping val="standard"/>
        <c:varyColors val="0"/>
        <c:ser>
          <c:idx val="0"/>
          <c:order val="2"/>
          <c:tx>
            <c:strRef>
              <c:f>'exergy steam'!$DH$32</c:f>
              <c:strCache>
                <c:ptCount val="1"/>
                <c:pt idx="0">
                  <c:v>Biomassa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'exergy steam'!$DE$33:$DE$43</c:f>
              <c:numCache/>
            </c:numRef>
          </c:cat>
          <c:val>
            <c:numRef>
              <c:f>'exergy steam'!$DH$33:$DH$43</c:f>
              <c:numCache/>
            </c:numRef>
          </c:val>
          <c:smooth val="0"/>
        </c:ser>
        <c:axId val="35545581"/>
        <c:axId val="51474774"/>
      </c:lineChart>
      <c:catAx>
        <c:axId val="3554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S/C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1474774"/>
        <c:crosses val="autoZero"/>
        <c:auto val="1"/>
        <c:lblOffset val="100"/>
        <c:noMultiLvlLbl val="0"/>
      </c:catAx>
      <c:valAx>
        <c:axId val="514747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Exergy (kJ/s)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55455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25"/>
          <c:y val="0.88475"/>
          <c:w val="0.46275"/>
          <c:h val="0.0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'exergy air'!$CR$17</c:f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'exergy air'!$CQ$18:$CQ$28</c:f>
              <c:numCache/>
            </c:numRef>
          </c:cat>
          <c:val>
            <c:numRef>
              <c:f>'exergy air'!$CR$18:$CR$28</c:f>
              <c:numCache/>
            </c:numRef>
          </c:val>
        </c:ser>
        <c:axId val="60619783"/>
        <c:axId val="8707136"/>
      </c:barChart>
      <c:lineChart>
        <c:grouping val="standard"/>
        <c:varyColors val="0"/>
        <c:ser>
          <c:idx val="1"/>
          <c:order val="1"/>
          <c:tx>
            <c:strRef>
              <c:f>'exergy air'!$CS$17</c:f>
              <c:strCache>
                <c:ptCount val="1"/>
                <c:pt idx="0">
                  <c:v>Total efficiency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'exergy air'!$CQ$18:$CQ$28</c:f>
              <c:numCache/>
            </c:numRef>
          </c:cat>
          <c:val>
            <c:numRef>
              <c:f>'exergy air'!$CS$18:$CS$28</c:f>
              <c:numCache/>
            </c:numRef>
          </c:val>
          <c:smooth val="0"/>
        </c:ser>
        <c:marker val="1"/>
        <c:axId val="11255361"/>
        <c:axId val="34189386"/>
      </c:lineChart>
      <c:catAx>
        <c:axId val="1125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Air flow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(kg/s)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Exergy efficiency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1255361"/>
        <c:crosses val="autoZero"/>
        <c:crossBetween val="between"/>
        <c:dispUnits/>
      </c:valAx>
      <c:catAx>
        <c:axId val="60619783"/>
        <c:scaling>
          <c:orientation val="minMax"/>
        </c:scaling>
        <c:axPos val="b"/>
        <c:delete val="1"/>
        <c:majorTickMark val="out"/>
        <c:minorTickMark val="none"/>
        <c:tickLblPos val="nextTo"/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06197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8675"/>
          <c:y val="0.0655"/>
          <c:w val="0.4545"/>
          <c:h val="0.078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'exergy air'!$CT$17</c:f>
              <c:strCache>
                <c:ptCount val="1"/>
                <c:pt idx="0">
                  <c:v>Physical efficiency 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'exergy air'!$CQ$18:$CQ$28</c:f>
              <c:numCache/>
            </c:numRef>
          </c:cat>
          <c:val>
            <c:numRef>
              <c:f>'exergy air'!$CT$18:$CT$28</c:f>
              <c:numCache/>
            </c:numRef>
          </c:val>
        </c:ser>
        <c:ser>
          <c:idx val="3"/>
          <c:order val="1"/>
          <c:tx>
            <c:strRef>
              <c:f>'exergy air'!$CU$17</c:f>
              <c:strCache>
                <c:ptCount val="1"/>
                <c:pt idx="0">
                  <c:v>Chemical efficiency (%)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'exergy air'!$CQ$18:$CQ$28</c:f>
              <c:numCache/>
            </c:numRef>
          </c:cat>
          <c:val>
            <c:numRef>
              <c:f>'exergy air'!$CU$18:$CU$28</c:f>
              <c:numCache/>
            </c:numRef>
          </c:val>
        </c:ser>
        <c:overlap val="100"/>
        <c:axId val="39269019"/>
        <c:axId val="17876852"/>
      </c:barChart>
      <c:lineChart>
        <c:grouping val="standard"/>
        <c:varyColors val="0"/>
        <c:ser>
          <c:idx val="0"/>
          <c:order val="2"/>
          <c:tx>
            <c:strRef>
              <c:f>'exergy air'!$CR$17</c:f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'exergy air'!$CQ$18:$CQ$28</c:f>
              <c:numCache/>
            </c:numRef>
          </c:cat>
          <c:val>
            <c:numRef>
              <c:f>'exergy air'!$CR$18:$CR$28</c:f>
              <c:numCache/>
            </c:numRef>
          </c:val>
          <c:smooth val="0"/>
        </c:ser>
        <c:marker val="1"/>
        <c:axId val="26673941"/>
        <c:axId val="38738878"/>
      </c:lineChart>
      <c:catAx>
        <c:axId val="39269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Air flow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(kg/s)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Exergy efficiency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9269019"/>
        <c:crosses val="autoZero"/>
        <c:crossBetween val="between"/>
        <c:dispUnits/>
      </c:valAx>
      <c:catAx>
        <c:axId val="26673941"/>
        <c:scaling>
          <c:orientation val="minMax"/>
        </c:scaling>
        <c:axPos val="b"/>
        <c:delete val="1"/>
        <c:majorTickMark val="out"/>
        <c:minorTickMark val="none"/>
        <c:tickLblPos val="nextTo"/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66739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125"/>
          <c:y val="0.8525"/>
          <c:w val="0.71325"/>
          <c:h val="0.0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'exergy air'!$CR$32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'exergy air'!$CQ$18:$CQ$28</c:f>
              <c:numCache/>
            </c:numRef>
          </c:cat>
          <c:val>
            <c:numRef>
              <c:f>'exergy air'!$CR$33:$CR$43</c:f>
              <c:numCache/>
            </c:numRef>
          </c:val>
        </c:ser>
        <c:ser>
          <c:idx val="3"/>
          <c:order val="1"/>
          <c:tx>
            <c:strRef>
              <c:f>'exergy air'!$CS$32</c:f>
              <c:strCache>
                <c:ptCount val="1"/>
                <c:pt idx="0">
                  <c:v>Liquid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'exergy air'!$CQ$18:$CQ$28</c:f>
              <c:numCache/>
            </c:numRef>
          </c:cat>
          <c:val>
            <c:numRef>
              <c:f>'exergy air'!$CS$33:$CS$43</c:f>
              <c:numCache/>
            </c:numRef>
          </c:val>
        </c:ser>
        <c:axId val="13105583"/>
        <c:axId val="50841384"/>
      </c:barChart>
      <c:lineChart>
        <c:grouping val="standard"/>
        <c:varyColors val="0"/>
        <c:ser>
          <c:idx val="0"/>
          <c:order val="2"/>
          <c:tx>
            <c:strRef>
              <c:f>'exergy air'!$CT$32</c:f>
              <c:strCache>
                <c:ptCount val="1"/>
                <c:pt idx="0">
                  <c:v>Biomass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'exergy air'!$CT$33:$CT$43</c:f>
              <c:numCache/>
            </c:numRef>
          </c:val>
          <c:smooth val="0"/>
        </c:ser>
        <c:axId val="13105583"/>
        <c:axId val="50841384"/>
      </c:lineChart>
      <c:catAx>
        <c:axId val="1310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Air flow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(kg/s)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Exergy (kJ/s)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31055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25"/>
          <c:y val="0.88475"/>
          <c:w val="0.46275"/>
          <c:h val="0.0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'exergy air'!$CS$17</c:f>
              <c:strCache>
                <c:ptCount val="1"/>
                <c:pt idx="0">
                  <c:v>Total efficiency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'exergy air'!$CQ$18:$CQ$28</c:f>
              <c:numCache/>
            </c:numRef>
          </c:cat>
          <c:val>
            <c:numRef>
              <c:f>'exergy air'!$CS$18:$CS$28</c:f>
              <c:numCache/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</c:scaling>
        <c:axPos val="l"/>
        <c:delete val="0"/>
        <c:numFmt formatCode="0.0%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491927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rgbClr val="000000"/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171450</xdr:rowOff>
    </xdr:from>
    <xdr:to>
      <xdr:col>8</xdr:col>
      <xdr:colOff>371475</xdr:colOff>
      <xdr:row>4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71450"/>
          <a:ext cx="4914900" cy="685800"/>
        </a:xfrm>
        <a:prstGeom prst="rect">
          <a:avLst/>
        </a:prstGeom>
        <a:ln>
          <a:solidFill>
            <a:schemeClr val="accent1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2</xdr:row>
      <xdr:rowOff>85725</xdr:rowOff>
    </xdr:from>
    <xdr:to>
      <xdr:col>11</xdr:col>
      <xdr:colOff>266700</xdr:colOff>
      <xdr:row>11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66725"/>
          <a:ext cx="7248525" cy="1685925"/>
        </a:xfrm>
        <a:prstGeom prst="rect">
          <a:avLst/>
        </a:prstGeom>
        <a:ln>
          <a:solidFill>
            <a:schemeClr val="accent1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116</xdr:col>
      <xdr:colOff>114300</xdr:colOff>
      <xdr:row>32</xdr:row>
      <xdr:rowOff>152400</xdr:rowOff>
    </xdr:from>
    <xdr:to>
      <xdr:col>123</xdr:col>
      <xdr:colOff>419100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71675625" y="6248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116</xdr:col>
      <xdr:colOff>0</xdr:colOff>
      <xdr:row>17</xdr:row>
      <xdr:rowOff>0</xdr:rowOff>
    </xdr:from>
    <xdr:to>
      <xdr:col>123</xdr:col>
      <xdr:colOff>304800</xdr:colOff>
      <xdr:row>31</xdr:row>
      <xdr:rowOff>76200</xdr:rowOff>
    </xdr:to>
    <xdr:graphicFrame macro="">
      <xdr:nvGraphicFramePr>
        <xdr:cNvPr id="3" name="Chart 2"/>
        <xdr:cNvGraphicFramePr/>
      </xdr:nvGraphicFramePr>
      <xdr:xfrm>
        <a:off x="71561325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116</xdr:col>
      <xdr:colOff>276225</xdr:colOff>
      <xdr:row>8</xdr:row>
      <xdr:rowOff>152400</xdr:rowOff>
    </xdr:from>
    <xdr:to>
      <xdr:col>122</xdr:col>
      <xdr:colOff>323850</xdr:colOff>
      <xdr:row>16</xdr:row>
      <xdr:rowOff>95250</xdr:rowOff>
    </xdr:to>
    <xdr:graphicFrame macro="">
      <xdr:nvGraphicFramePr>
        <xdr:cNvPr id="4" name="Chart 3"/>
        <xdr:cNvGraphicFramePr/>
      </xdr:nvGraphicFramePr>
      <xdr:xfrm>
        <a:off x="71837550" y="1676400"/>
        <a:ext cx="3705225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117</xdr:col>
      <xdr:colOff>190500</xdr:colOff>
      <xdr:row>17</xdr:row>
      <xdr:rowOff>161925</xdr:rowOff>
    </xdr:from>
    <xdr:to>
      <xdr:col>122</xdr:col>
      <xdr:colOff>171450</xdr:colOff>
      <xdr:row>19</xdr:row>
      <xdr:rowOff>38100</xdr:rowOff>
    </xdr:to>
    <xdr:sp macro="" textlink="">
      <xdr:nvSpPr>
        <xdr:cNvPr id="5" name="Rectangle 4"/>
        <xdr:cNvSpPr/>
      </xdr:nvSpPr>
      <xdr:spPr>
        <a:xfrm>
          <a:off x="72361425" y="3400425"/>
          <a:ext cx="3028950" cy="257175"/>
        </a:xfrm>
        <a:prstGeom prst="rect">
          <a:avLst/>
        </a:prstGeom>
        <a:noFill/>
        <a:ln w="19050">
          <a:solidFill>
            <a:schemeClr val="tx1"/>
          </a:solidFill>
          <a:prstDash val="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119</xdr:col>
      <xdr:colOff>476250</xdr:colOff>
      <xdr:row>16</xdr:row>
      <xdr:rowOff>85725</xdr:rowOff>
    </xdr:from>
    <xdr:to>
      <xdr:col>119</xdr:col>
      <xdr:colOff>476250</xdr:colOff>
      <xdr:row>17</xdr:row>
      <xdr:rowOff>171450</xdr:rowOff>
    </xdr:to>
    <xdr:cxnSp macro="">
      <xdr:nvCxnSpPr>
        <xdr:cNvPr id="7" name="Straight Arrow Connector 6"/>
        <xdr:cNvCxnSpPr/>
      </xdr:nvCxnSpPr>
      <xdr:spPr>
        <a:xfrm flipV="1">
          <a:off x="73866375" y="3133725"/>
          <a:ext cx="0" cy="276225"/>
        </a:xfrm>
        <a:prstGeom prst="straightConnector1">
          <a:avLst/>
        </a:prstGeom>
        <a:ln w="3810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48</xdr:row>
      <xdr:rowOff>0</xdr:rowOff>
    </xdr:from>
    <xdr:to>
      <xdr:col>115</xdr:col>
      <xdr:colOff>257175</xdr:colOff>
      <xdr:row>62</xdr:row>
      <xdr:rowOff>76200</xdr:rowOff>
    </xdr:to>
    <xdr:graphicFrame macro="">
      <xdr:nvGraphicFramePr>
        <xdr:cNvPr id="10" name="Chart 9"/>
        <xdr:cNvGraphicFramePr/>
      </xdr:nvGraphicFramePr>
      <xdr:xfrm>
        <a:off x="66465450" y="9144000"/>
        <a:ext cx="4743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542925</xdr:colOff>
      <xdr:row>34</xdr:row>
      <xdr:rowOff>114300</xdr:rowOff>
    </xdr:from>
    <xdr:to>
      <xdr:col>108</xdr:col>
      <xdr:colOff>238125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64169925" y="6591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101</xdr:col>
      <xdr:colOff>0</xdr:colOff>
      <xdr:row>17</xdr:row>
      <xdr:rowOff>0</xdr:rowOff>
    </xdr:from>
    <xdr:to>
      <xdr:col>108</xdr:col>
      <xdr:colOff>304800</xdr:colOff>
      <xdr:row>31</xdr:row>
      <xdr:rowOff>76200</xdr:rowOff>
    </xdr:to>
    <xdr:graphicFrame macro="">
      <xdr:nvGraphicFramePr>
        <xdr:cNvPr id="3" name="Chart 2"/>
        <xdr:cNvGraphicFramePr/>
      </xdr:nvGraphicFramePr>
      <xdr:xfrm>
        <a:off x="642366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92</xdr:col>
      <xdr:colOff>504825</xdr:colOff>
      <xdr:row>45</xdr:row>
      <xdr:rowOff>76200</xdr:rowOff>
    </xdr:from>
    <xdr:to>
      <xdr:col>100</xdr:col>
      <xdr:colOff>200025</xdr:colOff>
      <xdr:row>59</xdr:row>
      <xdr:rowOff>152400</xdr:rowOff>
    </xdr:to>
    <xdr:graphicFrame macro="">
      <xdr:nvGraphicFramePr>
        <xdr:cNvPr id="6" name="Chart 5"/>
        <xdr:cNvGraphicFramePr/>
      </xdr:nvGraphicFramePr>
      <xdr:xfrm>
        <a:off x="59255025" y="86487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101</xdr:col>
      <xdr:colOff>571500</xdr:colOff>
      <xdr:row>7</xdr:row>
      <xdr:rowOff>57150</xdr:rowOff>
    </xdr:from>
    <xdr:to>
      <xdr:col>107</xdr:col>
      <xdr:colOff>161925</xdr:colOff>
      <xdr:row>15</xdr:row>
      <xdr:rowOff>180975</xdr:rowOff>
    </xdr:to>
    <xdr:graphicFrame macro="">
      <xdr:nvGraphicFramePr>
        <xdr:cNvPr id="7" name="Chart 6"/>
        <xdr:cNvGraphicFramePr/>
      </xdr:nvGraphicFramePr>
      <xdr:xfrm>
        <a:off x="64808100" y="1390650"/>
        <a:ext cx="32480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21"/>
  <sheetViews>
    <sheetView workbookViewId="0" topLeftCell="A1">
      <selection activeCell="L4" sqref="L4"/>
    </sheetView>
  </sheetViews>
  <sheetFormatPr defaultColWidth="9.140625" defaultRowHeight="15"/>
  <cols>
    <col min="4" max="4" width="11.57421875" style="0" bestFit="1" customWidth="1"/>
    <col min="5" max="5" width="12.00390625" style="0" bestFit="1" customWidth="1"/>
    <col min="6" max="6" width="16.00390625" style="0" bestFit="1" customWidth="1"/>
    <col min="7" max="7" width="3.8515625" style="0" bestFit="1" customWidth="1"/>
    <col min="8" max="8" width="18.140625" style="0" bestFit="1" customWidth="1"/>
    <col min="9" max="9" width="12.00390625" style="0" bestFit="1" customWidth="1"/>
  </cols>
  <sheetData>
    <row r="7" spans="2:8" ht="15">
      <c r="B7">
        <v>1</v>
      </c>
      <c r="C7" t="s">
        <v>34</v>
      </c>
      <c r="E7" t="s">
        <v>29</v>
      </c>
      <c r="F7" t="s">
        <v>31</v>
      </c>
      <c r="G7" t="s">
        <v>30</v>
      </c>
      <c r="H7" t="s">
        <v>32</v>
      </c>
    </row>
    <row r="8" spans="2:10" ht="15">
      <c r="B8" t="s">
        <v>117</v>
      </c>
      <c r="D8" t="s">
        <v>24</v>
      </c>
      <c r="E8" s="6">
        <f aca="true" t="shared" si="0" ref="E8:E13">F8/$F$15</f>
        <v>0.8205128205128205</v>
      </c>
      <c r="F8">
        <f aca="true" t="shared" si="1" ref="F8:F13">G8*H8</f>
        <v>96</v>
      </c>
      <c r="G8">
        <v>12</v>
      </c>
      <c r="H8">
        <v>8</v>
      </c>
      <c r="I8" s="2"/>
      <c r="J8" s="27"/>
    </row>
    <row r="9" spans="4:10" ht="15">
      <c r="D9" t="s">
        <v>25</v>
      </c>
      <c r="E9" s="6">
        <f t="shared" si="0"/>
        <v>0.05982905982905983</v>
      </c>
      <c r="F9">
        <f t="shared" si="1"/>
        <v>7</v>
      </c>
      <c r="G9">
        <v>1</v>
      </c>
      <c r="H9">
        <v>7</v>
      </c>
      <c r="I9" s="2"/>
      <c r="J9" s="27"/>
    </row>
    <row r="10" spans="4:10" ht="15">
      <c r="D10" t="s">
        <v>26</v>
      </c>
      <c r="E10" s="6">
        <f t="shared" si="0"/>
        <v>0.11965811965811966</v>
      </c>
      <c r="F10">
        <f t="shared" si="1"/>
        <v>14</v>
      </c>
      <c r="G10">
        <v>14</v>
      </c>
      <c r="H10">
        <v>1</v>
      </c>
      <c r="I10" s="2"/>
      <c r="J10" s="27"/>
    </row>
    <row r="11" spans="4:10" ht="15">
      <c r="D11" t="s">
        <v>27</v>
      </c>
      <c r="E11" s="6">
        <f t="shared" si="0"/>
        <v>0</v>
      </c>
      <c r="F11">
        <f t="shared" si="1"/>
        <v>0</v>
      </c>
      <c r="G11">
        <v>32</v>
      </c>
      <c r="H11">
        <v>0</v>
      </c>
      <c r="I11" s="2"/>
      <c r="J11" s="27"/>
    </row>
    <row r="12" spans="4:10" ht="15">
      <c r="D12" t="s">
        <v>28</v>
      </c>
      <c r="E12" s="6">
        <f t="shared" si="0"/>
        <v>0</v>
      </c>
      <c r="F12">
        <f t="shared" si="1"/>
        <v>0</v>
      </c>
      <c r="G12">
        <v>16</v>
      </c>
      <c r="H12">
        <v>0</v>
      </c>
      <c r="I12" s="2"/>
      <c r="J12" s="27"/>
    </row>
    <row r="13" spans="4:10" ht="15">
      <c r="D13" t="s">
        <v>50</v>
      </c>
      <c r="E13" s="6">
        <f t="shared" si="0"/>
        <v>0</v>
      </c>
      <c r="F13">
        <f t="shared" si="1"/>
        <v>0</v>
      </c>
      <c r="G13">
        <v>12</v>
      </c>
      <c r="H13">
        <v>0</v>
      </c>
      <c r="I13" s="2"/>
      <c r="J13" s="27"/>
    </row>
    <row r="14" ht="15">
      <c r="I14" s="2"/>
    </row>
    <row r="15" spans="5:11" ht="15">
      <c r="E15" s="7">
        <f>SUM(E8:E13)</f>
        <v>1</v>
      </c>
      <c r="F15" s="3">
        <f>SUM(F8:F13)</f>
        <v>117</v>
      </c>
      <c r="G15" s="3"/>
      <c r="H15" s="3">
        <f>SUM(H8:H13)</f>
        <v>16</v>
      </c>
      <c r="I15" s="2"/>
      <c r="J15" s="3"/>
      <c r="K15" s="3"/>
    </row>
    <row r="17" ht="15">
      <c r="D17" t="s">
        <v>39</v>
      </c>
    </row>
    <row r="18" spans="4:6" ht="15">
      <c r="D18" t="s">
        <v>18</v>
      </c>
      <c r="E18" s="26">
        <v>4235</v>
      </c>
      <c r="F18" t="s">
        <v>36</v>
      </c>
    </row>
    <row r="19" spans="4:5" ht="15">
      <c r="D19" t="s">
        <v>19</v>
      </c>
      <c r="E19">
        <f>(1.0414+0.0177*E9/E8-0.3328*E12/E8*(1+0.0537*E9/E8))/(1-0.4021*E12/E8)</f>
        <v>1.042690625</v>
      </c>
    </row>
    <row r="21" spans="4:8" ht="15">
      <c r="D21" t="s">
        <v>118</v>
      </c>
      <c r="E21">
        <f>E18*(1.0401+0.1728*E9/E8+0.0432*E12/E8)</f>
        <v>4458.1845</v>
      </c>
      <c r="F21" t="s">
        <v>36</v>
      </c>
      <c r="H21">
        <f>E18*(1.0401+0.1728*E9/E8+0.0432*E12/E8)</f>
        <v>4458.1845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4:N34"/>
  <sheetViews>
    <sheetView workbookViewId="0" topLeftCell="A1">
      <selection activeCell="L19" sqref="L19"/>
    </sheetView>
  </sheetViews>
  <sheetFormatPr defaultColWidth="9.140625" defaultRowHeight="15"/>
  <cols>
    <col min="4" max="4" width="11.57421875" style="0" bestFit="1" customWidth="1"/>
    <col min="5" max="5" width="12.00390625" style="0" bestFit="1" customWidth="1"/>
    <col min="6" max="6" width="16.00390625" style="0" bestFit="1" customWidth="1"/>
    <col min="7" max="7" width="3.8515625" style="0" bestFit="1" customWidth="1"/>
    <col min="8" max="8" width="18.140625" style="0" bestFit="1" customWidth="1"/>
    <col min="9" max="9" width="12.00390625" style="0" bestFit="1" customWidth="1"/>
  </cols>
  <sheetData>
    <row r="14" spans="5:14" ht="15">
      <c r="E14" t="s">
        <v>29</v>
      </c>
      <c r="F14" t="s">
        <v>31</v>
      </c>
      <c r="G14" t="s">
        <v>30</v>
      </c>
      <c r="H14" t="s">
        <v>32</v>
      </c>
      <c r="I14" t="s">
        <v>40</v>
      </c>
      <c r="J14" t="s">
        <v>41</v>
      </c>
      <c r="M14" t="s">
        <v>124</v>
      </c>
      <c r="N14" t="s">
        <v>33</v>
      </c>
    </row>
    <row r="15" spans="4:14" ht="15">
      <c r="D15" t="s">
        <v>24</v>
      </c>
      <c r="E15" s="6">
        <v>0.464</v>
      </c>
      <c r="F15">
        <f aca="true" t="shared" si="0" ref="F15:F20">$E$28*E15</f>
        <v>4640</v>
      </c>
      <c r="G15">
        <v>12</v>
      </c>
      <c r="H15">
        <f aca="true" t="shared" si="1" ref="H15:H20">F15/G15</f>
        <v>386.6666666666667</v>
      </c>
      <c r="I15" s="2">
        <f aca="true" t="shared" si="2" ref="I15:I20">H15/$H$22</f>
        <v>0.29396325459317585</v>
      </c>
      <c r="J15">
        <f aca="true" t="shared" si="3" ref="J15:J20">G15*I15</f>
        <v>3.52755905511811</v>
      </c>
      <c r="M15">
        <f>F15/3600</f>
        <v>1.288888888888889</v>
      </c>
      <c r="N15">
        <f>H15/3600</f>
        <v>0.10740740740740741</v>
      </c>
    </row>
    <row r="16" spans="4:10" ht="15">
      <c r="D16" t="s">
        <v>25</v>
      </c>
      <c r="E16" s="6">
        <v>0.061</v>
      </c>
      <c r="F16">
        <f t="shared" si="0"/>
        <v>610</v>
      </c>
      <c r="G16">
        <v>1</v>
      </c>
      <c r="H16">
        <f t="shared" si="1"/>
        <v>610</v>
      </c>
      <c r="I16" s="2">
        <f t="shared" si="2"/>
        <v>0.4637523757806136</v>
      </c>
      <c r="J16">
        <f t="shared" si="3"/>
        <v>0.4637523757806136</v>
      </c>
    </row>
    <row r="17" spans="4:10" ht="15">
      <c r="D17" t="s">
        <v>26</v>
      </c>
      <c r="E17" s="6">
        <v>0.102</v>
      </c>
      <c r="F17">
        <f t="shared" si="0"/>
        <v>1019.9999999999999</v>
      </c>
      <c r="G17">
        <v>14</v>
      </c>
      <c r="H17">
        <f t="shared" si="1"/>
        <v>72.85714285714285</v>
      </c>
      <c r="I17" s="2">
        <f t="shared" si="2"/>
        <v>0.055389628020635344</v>
      </c>
      <c r="J17">
        <f t="shared" si="3"/>
        <v>0.7754547922888948</v>
      </c>
    </row>
    <row r="18" spans="4:10" ht="15">
      <c r="D18" t="s">
        <v>27</v>
      </c>
      <c r="E18" s="6">
        <v>0.006</v>
      </c>
      <c r="F18">
        <f t="shared" si="0"/>
        <v>60</v>
      </c>
      <c r="G18">
        <v>32</v>
      </c>
      <c r="H18">
        <f t="shared" si="1"/>
        <v>1.875</v>
      </c>
      <c r="I18" s="2">
        <f t="shared" si="2"/>
        <v>0.0014254683681781156</v>
      </c>
      <c r="J18">
        <f t="shared" si="3"/>
        <v>0.0456149877816997</v>
      </c>
    </row>
    <row r="19" spans="4:10" ht="15">
      <c r="D19" t="s">
        <v>28</v>
      </c>
      <c r="E19" s="6">
        <v>0.297</v>
      </c>
      <c r="F19">
        <f t="shared" si="0"/>
        <v>2970</v>
      </c>
      <c r="G19">
        <v>16</v>
      </c>
      <c r="H19">
        <f t="shared" si="1"/>
        <v>185.625</v>
      </c>
      <c r="I19" s="2">
        <f t="shared" si="2"/>
        <v>0.14112136844963344</v>
      </c>
      <c r="J19">
        <f t="shared" si="3"/>
        <v>2.257941895194135</v>
      </c>
    </row>
    <row r="20" spans="4:10" ht="15">
      <c r="D20" t="s">
        <v>50</v>
      </c>
      <c r="E20" s="6">
        <v>0.07</v>
      </c>
      <c r="F20">
        <f t="shared" si="0"/>
        <v>700.0000000000001</v>
      </c>
      <c r="G20">
        <v>12</v>
      </c>
      <c r="H20">
        <f t="shared" si="1"/>
        <v>58.33333333333334</v>
      </c>
      <c r="I20" s="2">
        <f t="shared" si="2"/>
        <v>0.044347904787763605</v>
      </c>
      <c r="J20">
        <f t="shared" si="3"/>
        <v>0.5321748574531633</v>
      </c>
    </row>
    <row r="21" ht="15">
      <c r="I21" s="2"/>
    </row>
    <row r="22" spans="5:11" ht="15">
      <c r="E22" s="7">
        <f>SUM(E15:E20)</f>
        <v>1</v>
      </c>
      <c r="F22" s="3">
        <f>SUM(F15:F20)</f>
        <v>10000</v>
      </c>
      <c r="G22" s="3"/>
      <c r="H22" s="3">
        <f>SUM(H15:H20)</f>
        <v>1315.357142857143</v>
      </c>
      <c r="I22" s="2">
        <f>SUM(I15:I20)</f>
        <v>1</v>
      </c>
      <c r="J22" s="3">
        <f>SUM(J15:J20)</f>
        <v>7.602497963616616</v>
      </c>
      <c r="K22" s="3"/>
    </row>
    <row r="23" spans="9:10" ht="15">
      <c r="I23">
        <f>H22</f>
        <v>1315.357142857143</v>
      </c>
      <c r="J23" t="s">
        <v>34</v>
      </c>
    </row>
    <row r="24" spans="4:10" ht="15">
      <c r="D24" t="s">
        <v>39</v>
      </c>
      <c r="I24">
        <f>I23/(60*60)</f>
        <v>0.36537698412698416</v>
      </c>
      <c r="J24" t="s">
        <v>33</v>
      </c>
    </row>
    <row r="25" spans="9:10" ht="15">
      <c r="I25">
        <f>I24*1000</f>
        <v>365.37698412698415</v>
      </c>
      <c r="J25" t="s">
        <v>37</v>
      </c>
    </row>
    <row r="26" spans="9:10" ht="15">
      <c r="I26">
        <f>I25*3600</f>
        <v>1315357.142857143</v>
      </c>
      <c r="J26" t="s">
        <v>35</v>
      </c>
    </row>
    <row r="28" spans="4:9" ht="15">
      <c r="D28" t="s">
        <v>17</v>
      </c>
      <c r="E28">
        <v>10000</v>
      </c>
      <c r="F28" t="s">
        <v>20</v>
      </c>
      <c r="I28">
        <f>E28/I23</f>
        <v>7.602497963616616</v>
      </c>
    </row>
    <row r="29" spans="4:6" ht="15">
      <c r="D29" t="s">
        <v>18</v>
      </c>
      <c r="E29">
        <v>20600</v>
      </c>
      <c r="F29" t="s">
        <v>21</v>
      </c>
    </row>
    <row r="30" spans="4:5" ht="15">
      <c r="D30" t="s">
        <v>19</v>
      </c>
      <c r="E30">
        <f>(1.0414+0.0177*E16/E15-0.3328*E19/E15*(1+0.0537*E16/E15))/(1-0.4021*E19/E15)</f>
        <v>1.1165884250509877</v>
      </c>
    </row>
    <row r="32" spans="4:6" ht="15">
      <c r="D32" t="s">
        <v>22</v>
      </c>
      <c r="E32">
        <f>E28*E29*E30</f>
        <v>230017215.56050345</v>
      </c>
      <c r="F32" t="s">
        <v>23</v>
      </c>
    </row>
    <row r="33" spans="5:6" ht="15">
      <c r="E33">
        <f>E32/I26</f>
        <v>174.87054128954918</v>
      </c>
      <c r="F33" t="s">
        <v>36</v>
      </c>
    </row>
    <row r="34" spans="5:6" ht="15">
      <c r="E34">
        <f>E32/3600</f>
        <v>63893.67098902874</v>
      </c>
      <c r="F34" t="s">
        <v>38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5"/>
  <sheetViews>
    <sheetView zoomScale="70" zoomScaleNormal="70" workbookViewId="0" topLeftCell="CR19">
      <selection activeCell="DJ42" sqref="DJ42"/>
    </sheetView>
  </sheetViews>
  <sheetFormatPr defaultColWidth="9.140625" defaultRowHeight="15"/>
  <cols>
    <col min="20" max="20" width="10.00390625" style="0" bestFit="1" customWidth="1"/>
    <col min="21" max="21" width="11.7109375" style="0" bestFit="1" customWidth="1"/>
    <col min="23" max="23" width="10.7109375" style="0" bestFit="1" customWidth="1"/>
    <col min="26" max="26" width="11.7109375" style="0" bestFit="1" customWidth="1"/>
    <col min="40" max="40" width="9.140625" style="18" customWidth="1"/>
    <col min="44" max="44" width="11.00390625" style="0" bestFit="1" customWidth="1"/>
    <col min="52" max="52" width="9.140625" style="18" customWidth="1"/>
    <col min="96" max="96" width="9.140625" style="24" customWidth="1"/>
    <col min="110" max="110" width="12.421875" style="0" customWidth="1"/>
  </cols>
  <sheetData>
    <row r="1" spans="1:16" ht="15">
      <c r="A1" t="s">
        <v>52</v>
      </c>
      <c r="B1" t="s">
        <v>53</v>
      </c>
      <c r="F1" s="34" t="s">
        <v>79</v>
      </c>
      <c r="G1" s="34"/>
      <c r="H1" s="34"/>
      <c r="I1" s="33" t="s">
        <v>80</v>
      </c>
      <c r="J1" s="33"/>
      <c r="K1" s="33"/>
      <c r="L1" s="33"/>
      <c r="M1" s="33"/>
      <c r="N1" s="33"/>
      <c r="O1" s="33"/>
      <c r="P1" s="33"/>
    </row>
    <row r="2" spans="3:16" ht="15">
      <c r="C2" t="s">
        <v>66</v>
      </c>
      <c r="F2" t="s">
        <v>67</v>
      </c>
      <c r="G2" t="s">
        <v>68</v>
      </c>
      <c r="H2" t="s">
        <v>69</v>
      </c>
      <c r="I2" s="9" t="s">
        <v>70</v>
      </c>
      <c r="J2" s="11" t="s">
        <v>72</v>
      </c>
      <c r="K2" s="11" t="s">
        <v>73</v>
      </c>
      <c r="L2" s="11" t="s">
        <v>74</v>
      </c>
      <c r="M2" s="11" t="s">
        <v>75</v>
      </c>
      <c r="N2" s="11" t="s">
        <v>76</v>
      </c>
      <c r="O2" s="11" t="s">
        <v>77</v>
      </c>
      <c r="P2" s="11" t="s">
        <v>78</v>
      </c>
    </row>
    <row r="3" spans="3:16" ht="15">
      <c r="C3" t="s">
        <v>59</v>
      </c>
      <c r="F3" t="s">
        <v>64</v>
      </c>
      <c r="G3" t="s">
        <v>64</v>
      </c>
      <c r="H3" t="s">
        <v>64</v>
      </c>
      <c r="I3" s="9" t="s">
        <v>64</v>
      </c>
      <c r="J3" s="11" t="s">
        <v>64</v>
      </c>
      <c r="K3" s="11" t="s">
        <v>64</v>
      </c>
      <c r="L3" s="11" t="s">
        <v>64</v>
      </c>
      <c r="M3" s="11" t="s">
        <v>64</v>
      </c>
      <c r="N3" s="11" t="s">
        <v>64</v>
      </c>
      <c r="O3" s="11" t="s">
        <v>64</v>
      </c>
      <c r="P3" s="11" t="s">
        <v>64</v>
      </c>
    </row>
    <row r="4" spans="1:16" ht="15">
      <c r="A4">
        <v>1</v>
      </c>
      <c r="B4" t="s">
        <v>61</v>
      </c>
      <c r="C4">
        <f>'ASPEN Ex steam'!B7</f>
        <v>0</v>
      </c>
      <c r="F4">
        <f>'ASPEN Ex steam'!C7</f>
        <v>0</v>
      </c>
      <c r="G4">
        <f>'ASPEN Ex steam'!D7</f>
        <v>2.02192479E-07</v>
      </c>
      <c r="H4">
        <f>'ASPEN Ex steam'!E7</f>
        <v>7.6062885E-07</v>
      </c>
      <c r="I4" s="10">
        <f>'ASPEN Ex steam'!F7</f>
        <v>0.00175948407</v>
      </c>
      <c r="J4" s="11">
        <f>'ASPEN Ex steam'!H7</f>
        <v>0</v>
      </c>
      <c r="K4" s="11">
        <f>'ASPEN Ex steam'!I7</f>
        <v>0.00804529362</v>
      </c>
      <c r="L4" s="11">
        <f>'ASPEN Ex steam'!J7</f>
        <v>0</v>
      </c>
      <c r="M4" s="11">
        <f>'ASPEN Ex steam'!K7</f>
        <v>0.0389244731</v>
      </c>
      <c r="N4" s="11">
        <f>'ASPEN Ex steam'!L7</f>
        <v>0.0522958417</v>
      </c>
      <c r="O4" s="11">
        <f>'ASPEN Ex steam'!M7</f>
        <v>5.0088652E-08</v>
      </c>
      <c r="P4" s="11">
        <f>'ASPEN Ex steam'!N7</f>
        <v>0.0223724215</v>
      </c>
    </row>
    <row r="5" spans="1:16" ht="15">
      <c r="A5">
        <v>2</v>
      </c>
      <c r="B5" t="s">
        <v>62</v>
      </c>
      <c r="C5">
        <f>'ASPEN Ex steam'!B8</f>
        <v>0.114</v>
      </c>
      <c r="F5">
        <f>'ASPEN Ex steam'!C8</f>
        <v>0.0063279616</v>
      </c>
      <c r="G5">
        <f>'ASPEN Ex steam'!D8</f>
        <v>2.02192479E-07</v>
      </c>
      <c r="H5">
        <f>'ASPEN Ex steam'!E8</f>
        <v>7.6062885E-07</v>
      </c>
      <c r="I5" s="10">
        <f>'ASPEN Ex steam'!F8</f>
        <v>0.000429986284</v>
      </c>
      <c r="J5" s="11">
        <f>'ASPEN Ex steam'!H8</f>
        <v>0</v>
      </c>
      <c r="K5" s="11">
        <f>'ASPEN Ex steam'!I8</f>
        <v>0.00871004251</v>
      </c>
      <c r="L5" s="11">
        <f>'ASPEN Ex steam'!J8</f>
        <v>0</v>
      </c>
      <c r="M5" s="11">
        <f>'ASPEN Ex steam'!K8</f>
        <v>0.0412887974</v>
      </c>
      <c r="N5" s="11">
        <f>'ASPEN Ex steam'!L8</f>
        <v>0.058623795</v>
      </c>
      <c r="O5" s="11">
        <f>'ASPEN Ex steam'!M8</f>
        <v>1.06102476E-07</v>
      </c>
      <c r="P5" s="11">
        <f>'ASPEN Ex steam'!N8</f>
        <v>0.0266810169</v>
      </c>
    </row>
    <row r="6" spans="1:16" ht="15">
      <c r="A6">
        <v>3</v>
      </c>
      <c r="B6" t="s">
        <v>62</v>
      </c>
      <c r="C6">
        <f>'ASPEN Ex steam'!B9</f>
        <v>0.228</v>
      </c>
      <c r="F6">
        <f>'ASPEN Ex steam'!C9</f>
        <v>0.0126559232</v>
      </c>
      <c r="G6">
        <f>'ASPEN Ex steam'!D9</f>
        <v>2.02192479E-07</v>
      </c>
      <c r="H6">
        <f>'ASPEN Ex steam'!E9</f>
        <v>7.6062885E-07</v>
      </c>
      <c r="I6" s="10">
        <f>'ASPEN Ex steam'!F9</f>
        <v>2.90969137E-08</v>
      </c>
      <c r="J6" s="11">
        <f>'ASPEN Ex steam'!H9</f>
        <v>0</v>
      </c>
      <c r="K6" s="11">
        <f>'ASPEN Ex steam'!I9</f>
        <v>0.00892502111</v>
      </c>
      <c r="L6" s="11">
        <f>'ASPEN Ex steam'!J9</f>
        <v>0</v>
      </c>
      <c r="M6" s="11">
        <f>'ASPEN Ex steam'!K9</f>
        <v>0.0548952993</v>
      </c>
      <c r="N6" s="11">
        <f>'ASPEN Ex steam'!L9</f>
        <v>0.0649498442</v>
      </c>
      <c r="O6" s="11">
        <f>'ASPEN Ex steam'!M9</f>
        <v>1.12514218E-06</v>
      </c>
      <c r="P6" s="11">
        <f>'ASPEN Ex steam'!N9</f>
        <v>0.0237943604</v>
      </c>
    </row>
    <row r="7" spans="1:16" ht="15">
      <c r="A7">
        <v>4</v>
      </c>
      <c r="B7" t="s">
        <v>62</v>
      </c>
      <c r="C7">
        <f>'ASPEN Ex steam'!B10</f>
        <v>0.342</v>
      </c>
      <c r="F7">
        <f>'ASPEN Ex steam'!C10</f>
        <v>0.0189838848</v>
      </c>
      <c r="G7">
        <f>'ASPEN Ex steam'!D10</f>
        <v>2.02192479E-07</v>
      </c>
      <c r="H7">
        <f>'ASPEN Ex steam'!E10</f>
        <v>7.6062885E-07</v>
      </c>
      <c r="I7" s="10">
        <f>'ASPEN Ex steam'!F10</f>
        <v>2.07013437E-14</v>
      </c>
      <c r="J7" s="11">
        <f>'ASPEN Ex steam'!H10</f>
        <v>0</v>
      </c>
      <c r="K7" s="11">
        <f>'ASPEN Ex steam'!I10</f>
        <v>0.00892503566</v>
      </c>
      <c r="L7" s="11">
        <f>'ASPEN Ex steam'!J10</f>
        <v>0</v>
      </c>
      <c r="M7" s="11">
        <f>'ASPEN Ex steam'!K10</f>
        <v>0.0738117784</v>
      </c>
      <c r="N7" s="11">
        <f>'ASPEN Ex steam'!L10</f>
        <v>0.0712107691</v>
      </c>
      <c r="O7" s="11">
        <f>'ASPEN Ex steam'!M10</f>
        <v>3.46438238E-05</v>
      </c>
      <c r="P7" s="11">
        <f>'ASPEN Ex steam'!N10</f>
        <v>0.0175001536</v>
      </c>
    </row>
    <row r="8" spans="1:16" ht="15">
      <c r="A8">
        <v>5</v>
      </c>
      <c r="B8" t="s">
        <v>62</v>
      </c>
      <c r="C8">
        <f>'ASPEN Ex steam'!B11</f>
        <v>0.456</v>
      </c>
      <c r="F8">
        <f>'ASPEN Ex steam'!C11</f>
        <v>0.0253118464</v>
      </c>
      <c r="G8">
        <f>'ASPEN Ex steam'!D11</f>
        <v>2.02192479E-07</v>
      </c>
      <c r="H8">
        <f>'ASPEN Ex steam'!E11</f>
        <v>7.6062885E-07</v>
      </c>
      <c r="I8" s="10">
        <f>'ASPEN Ex steam'!F11</f>
        <v>0</v>
      </c>
      <c r="J8" s="11">
        <f>'ASPEN Ex steam'!H11</f>
        <v>0</v>
      </c>
      <c r="K8" s="11">
        <f>'ASPEN Ex steam'!I11</f>
        <v>0.00892503566</v>
      </c>
      <c r="L8" s="11">
        <f>'ASPEN Ex steam'!J11</f>
        <v>0</v>
      </c>
      <c r="M8" s="11">
        <f>'ASPEN Ex steam'!K11</f>
        <v>0.0906406378</v>
      </c>
      <c r="N8" s="11">
        <f>'ASPEN Ex steam'!L11</f>
        <v>0.0753837054</v>
      </c>
      <c r="O8" s="11">
        <f>'ASPEN Ex steam'!M11</f>
        <v>0.0011121565</v>
      </c>
      <c r="P8" s="11">
        <f>'ASPEN Ex steam'!N11</f>
        <v>0.0122497047</v>
      </c>
    </row>
    <row r="9" spans="1:54" ht="15">
      <c r="A9">
        <v>6</v>
      </c>
      <c r="B9" t="s">
        <v>62</v>
      </c>
      <c r="C9">
        <f>'ASPEN Ex steam'!B12</f>
        <v>0.57</v>
      </c>
      <c r="F9">
        <f>'ASPEN Ex steam'!C12</f>
        <v>0.031639808</v>
      </c>
      <c r="G9">
        <f>'ASPEN Ex steam'!D12</f>
        <v>2.02192479E-07</v>
      </c>
      <c r="H9">
        <f>'ASPEN Ex steam'!E12</f>
        <v>7.6062885E-07</v>
      </c>
      <c r="I9" s="10">
        <f>'ASPEN Ex steam'!F12</f>
        <v>0</v>
      </c>
      <c r="J9" s="11">
        <f>'ASPEN Ex steam'!H12</f>
        <v>0</v>
      </c>
      <c r="K9" s="11">
        <f>'ASPEN Ex steam'!I12</f>
        <v>0.00892503566</v>
      </c>
      <c r="L9" s="11">
        <f>'ASPEN Ex steam'!J12</f>
        <v>0</v>
      </c>
      <c r="M9" s="11">
        <f>'ASPEN Ex steam'!K12</f>
        <v>0.100663516</v>
      </c>
      <c r="N9" s="11">
        <f>'ASPEN Ex steam'!L12</f>
        <v>0.0727506605</v>
      </c>
      <c r="O9" s="11">
        <f>'ASPEN Ex steam'!M12</f>
        <v>0.00559265974</v>
      </c>
      <c r="P9" s="11">
        <f>'ASPEN Ex steam'!N12</f>
        <v>0.0104022463</v>
      </c>
      <c r="BB9" s="4"/>
    </row>
    <row r="10" spans="1:54" ht="15">
      <c r="A10">
        <v>7</v>
      </c>
      <c r="B10" t="s">
        <v>62</v>
      </c>
      <c r="C10">
        <f>'ASPEN Ex steam'!B13</f>
        <v>0.684</v>
      </c>
      <c r="F10">
        <f>'ASPEN Ex steam'!C13</f>
        <v>0.0379677696</v>
      </c>
      <c r="G10">
        <f>'ASPEN Ex steam'!D13</f>
        <v>2.02192479E-07</v>
      </c>
      <c r="H10">
        <f>'ASPEN Ex steam'!E13</f>
        <v>7.6062885E-07</v>
      </c>
      <c r="I10" s="10">
        <f>'ASPEN Ex steam'!F13</f>
        <v>0</v>
      </c>
      <c r="J10" s="11">
        <f>'ASPEN Ex steam'!H13</f>
        <v>0</v>
      </c>
      <c r="K10" s="11">
        <f>'ASPEN Ex steam'!I13</f>
        <v>0.00892503566</v>
      </c>
      <c r="L10" s="11">
        <f>'ASPEN Ex steam'!J13</f>
        <v>0</v>
      </c>
      <c r="M10" s="11">
        <f>'ASPEN Ex steam'!K13</f>
        <v>0.108063967</v>
      </c>
      <c r="N10" s="11">
        <f>'ASPEN Ex steam'!L13</f>
        <v>0.0674951882</v>
      </c>
      <c r="O10" s="11">
        <f>'ASPEN Ex steam'!M13</f>
        <v>0.0113843767</v>
      </c>
      <c r="P10" s="11">
        <f>'ASPEN Ex steam'!N13</f>
        <v>0.00986600165</v>
      </c>
      <c r="BB10" s="4" t="s">
        <v>6</v>
      </c>
    </row>
    <row r="11" spans="1:64" ht="15">
      <c r="A11">
        <v>8</v>
      </c>
      <c r="B11" t="s">
        <v>62</v>
      </c>
      <c r="C11">
        <f>'ASPEN Ex steam'!B14</f>
        <v>0.798</v>
      </c>
      <c r="F11">
        <f>'ASPEN Ex steam'!C14</f>
        <v>0.0442957312</v>
      </c>
      <c r="G11">
        <f>'ASPEN Ex steam'!D14</f>
        <v>2.02192479E-07</v>
      </c>
      <c r="H11">
        <f>'ASPEN Ex steam'!E14</f>
        <v>7.6062885E-07</v>
      </c>
      <c r="I11" s="10">
        <f>'ASPEN Ex steam'!F14</f>
        <v>0</v>
      </c>
      <c r="J11" s="11">
        <f>'ASPEN Ex steam'!H14</f>
        <v>0</v>
      </c>
      <c r="K11" s="11">
        <f>'ASPEN Ex steam'!I14</f>
        <v>0.00892503566</v>
      </c>
      <c r="L11" s="11">
        <f>'ASPEN Ex steam'!J14</f>
        <v>0</v>
      </c>
      <c r="M11" s="11">
        <f>'ASPEN Ex steam'!K14</f>
        <v>0.114767402</v>
      </c>
      <c r="N11" s="11">
        <f>'ASPEN Ex steam'!L14</f>
        <v>0.0615426999</v>
      </c>
      <c r="O11" s="11">
        <f>'ASPEN Ex steam'!M14</f>
        <v>0.0175246017</v>
      </c>
      <c r="P11" s="11">
        <f>'ASPEN Ex steam'!N14</f>
        <v>0.00967826504</v>
      </c>
      <c r="BB11" s="4" t="s">
        <v>10</v>
      </c>
      <c r="BC11" s="4" t="s">
        <v>16</v>
      </c>
      <c r="BD11" s="4" t="s">
        <v>11</v>
      </c>
      <c r="BE11" s="4" t="s">
        <v>51</v>
      </c>
      <c r="BF11" s="4" t="s">
        <v>10</v>
      </c>
      <c r="BG11" s="4" t="s">
        <v>11</v>
      </c>
      <c r="BH11" s="4" t="s">
        <v>16</v>
      </c>
      <c r="BI11" s="4" t="s">
        <v>12</v>
      </c>
      <c r="BJ11" s="4" t="s">
        <v>13</v>
      </c>
      <c r="BK11" s="4" t="s">
        <v>14</v>
      </c>
      <c r="BL11" s="4" t="s">
        <v>15</v>
      </c>
    </row>
    <row r="12" spans="1:64" ht="15">
      <c r="A12">
        <v>9</v>
      </c>
      <c r="B12" t="s">
        <v>62</v>
      </c>
      <c r="C12">
        <f>'ASPEN Ex steam'!B15</f>
        <v>0.912</v>
      </c>
      <c r="F12">
        <f>'ASPEN Ex steam'!C15</f>
        <v>0.0506236928</v>
      </c>
      <c r="G12">
        <f>'ASPEN Ex steam'!D15</f>
        <v>2.02192479E-07</v>
      </c>
      <c r="H12">
        <f>'ASPEN Ex steam'!E15</f>
        <v>7.6062885E-07</v>
      </c>
      <c r="I12" s="10">
        <f>'ASPEN Ex steam'!F15</f>
        <v>0</v>
      </c>
      <c r="J12" s="11">
        <f>'ASPEN Ex steam'!H15</f>
        <v>0</v>
      </c>
      <c r="K12" s="11">
        <f>'ASPEN Ex steam'!I15</f>
        <v>0.00892503566</v>
      </c>
      <c r="L12" s="11">
        <f>'ASPEN Ex steam'!J15</f>
        <v>0</v>
      </c>
      <c r="M12" s="11">
        <f>'ASPEN Ex steam'!K15</f>
        <v>0.121216898</v>
      </c>
      <c r="N12" s="11">
        <f>'ASPEN Ex steam'!L15</f>
        <v>0.0553362723</v>
      </c>
      <c r="O12" s="11">
        <f>'ASPEN Ex steam'!M15</f>
        <v>0.0237917962</v>
      </c>
      <c r="P12" s="11">
        <f>'ASPEN Ex steam'!N15</f>
        <v>0.00961749801</v>
      </c>
      <c r="BB12" s="4">
        <v>11.39</v>
      </c>
      <c r="BC12" s="4">
        <v>3.97</v>
      </c>
      <c r="BD12" s="4">
        <v>0.72</v>
      </c>
      <c r="BE12" s="20">
        <f>'Ch-exr of indole'!E21</f>
        <v>4458.1845</v>
      </c>
      <c r="BF12" s="4">
        <v>11.39</v>
      </c>
      <c r="BG12" s="4">
        <v>0.72</v>
      </c>
      <c r="BH12" s="4">
        <v>3.97</v>
      </c>
      <c r="BI12" s="4">
        <v>236.1</v>
      </c>
      <c r="BJ12" s="4">
        <v>275.01</v>
      </c>
      <c r="BK12" s="4">
        <v>19.81</v>
      </c>
      <c r="BL12" s="4">
        <v>831.65</v>
      </c>
    </row>
    <row r="13" spans="1:103" ht="15">
      <c r="A13">
        <v>10</v>
      </c>
      <c r="B13" t="s">
        <v>62</v>
      </c>
      <c r="C13">
        <f>'ASPEN Ex steam'!B16</f>
        <v>1.026</v>
      </c>
      <c r="F13">
        <f>'ASPEN Ex steam'!C16</f>
        <v>0.0569516544</v>
      </c>
      <c r="G13">
        <f>'ASPEN Ex steam'!D16</f>
        <v>2.02192479E-07</v>
      </c>
      <c r="H13">
        <f>'ASPEN Ex steam'!E16</f>
        <v>7.6062885E-07</v>
      </c>
      <c r="I13" s="10">
        <f>'ASPEN Ex steam'!F16</f>
        <v>0</v>
      </c>
      <c r="J13" s="11">
        <f>'ASPEN Ex steam'!H16</f>
        <v>0</v>
      </c>
      <c r="K13" s="11">
        <f>'ASPEN Ex steam'!I16</f>
        <v>0.00892503566</v>
      </c>
      <c r="L13" s="11">
        <f>'ASPEN Ex steam'!J16</f>
        <v>0</v>
      </c>
      <c r="M13" s="11">
        <f>'ASPEN Ex steam'!K16</f>
        <v>0.127573931</v>
      </c>
      <c r="N13" s="11">
        <f>'ASPEN Ex steam'!L16</f>
        <v>0.0490373831</v>
      </c>
      <c r="O13" s="11">
        <f>'ASPEN Ex steam'!M16</f>
        <v>0.0301052217</v>
      </c>
      <c r="P13" s="11">
        <f>'ASPEN Ex steam'!N16</f>
        <v>0.00960296184</v>
      </c>
      <c r="BN13" s="4" t="s">
        <v>6</v>
      </c>
      <c r="CY13" t="s">
        <v>114</v>
      </c>
    </row>
    <row r="14" spans="1:108" ht="15">
      <c r="A14">
        <v>11</v>
      </c>
      <c r="B14" t="s">
        <v>62</v>
      </c>
      <c r="C14">
        <f>'ASPEN Ex steam'!B17</f>
        <v>1.14</v>
      </c>
      <c r="F14">
        <f>'ASPEN Ex steam'!C17</f>
        <v>0.063279616</v>
      </c>
      <c r="G14">
        <f>'ASPEN Ex steam'!D17</f>
        <v>2.02192479E-07</v>
      </c>
      <c r="H14">
        <f>'ASPEN Ex steam'!E17</f>
        <v>7.6062885E-07</v>
      </c>
      <c r="I14" s="10">
        <f>'ASPEN Ex steam'!F17</f>
        <v>0</v>
      </c>
      <c r="J14" s="11">
        <f>'ASPEN Ex steam'!H17</f>
        <v>0</v>
      </c>
      <c r="K14" s="11">
        <f>'ASPEN Ex steam'!I17</f>
        <v>0.00892503566</v>
      </c>
      <c r="L14" s="11">
        <f>'ASPEN Ex steam'!J17</f>
        <v>0</v>
      </c>
      <c r="M14" s="11">
        <f>'ASPEN Ex steam'!K17</f>
        <v>0.133921545</v>
      </c>
      <c r="N14" s="11">
        <f>'ASPEN Ex steam'!L17</f>
        <v>0.0427290734</v>
      </c>
      <c r="O14" s="11">
        <f>'ASPEN Ex steam'!M17</f>
        <v>0.0364233573</v>
      </c>
      <c r="P14" s="11">
        <f>'ASPEN Ex steam'!N17</f>
        <v>0.00959313585</v>
      </c>
      <c r="BB14" t="s">
        <v>106</v>
      </c>
      <c r="BN14" t="s">
        <v>107</v>
      </c>
      <c r="BS14" s="21" t="s">
        <v>63</v>
      </c>
      <c r="CE14" s="22" t="s">
        <v>8</v>
      </c>
      <c r="CJ14" t="s">
        <v>7</v>
      </c>
      <c r="CK14" t="s">
        <v>108</v>
      </c>
      <c r="CM14" s="23" t="s">
        <v>9</v>
      </c>
      <c r="CT14" t="s">
        <v>110</v>
      </c>
      <c r="CY14" t="s">
        <v>110</v>
      </c>
      <c r="DD14" t="s">
        <v>65</v>
      </c>
    </row>
    <row r="15" spans="18:108" ht="15">
      <c r="R15" s="33" t="s">
        <v>1</v>
      </c>
      <c r="S15" s="33"/>
      <c r="T15" s="33"/>
      <c r="U15" s="33"/>
      <c r="W15" s="33" t="s">
        <v>2</v>
      </c>
      <c r="X15" s="33"/>
      <c r="Y15" s="33"/>
      <c r="Z15" s="33"/>
      <c r="AB15" s="17" t="s">
        <v>3</v>
      </c>
      <c r="AD15" s="33" t="s">
        <v>4</v>
      </c>
      <c r="AE15" s="33"/>
      <c r="AF15" s="33"/>
      <c r="AG15" s="33"/>
      <c r="AI15" s="33" t="s">
        <v>5</v>
      </c>
      <c r="AJ15" s="33"/>
      <c r="AK15" s="33"/>
      <c r="AL15" s="33"/>
      <c r="AP15" s="35" t="s">
        <v>0</v>
      </c>
      <c r="AQ15" s="35"/>
      <c r="AR15" s="35"/>
      <c r="AS15" s="35"/>
      <c r="AU15" s="35" t="s">
        <v>0</v>
      </c>
      <c r="AV15" s="35"/>
      <c r="AW15" s="35"/>
      <c r="AX15" s="35"/>
      <c r="BB15" s="19" t="s">
        <v>98</v>
      </c>
      <c r="BC15" s="32" t="s">
        <v>99</v>
      </c>
      <c r="BD15" s="32"/>
      <c r="BE15" s="19" t="s">
        <v>103</v>
      </c>
      <c r="BF15" s="32" t="s">
        <v>105</v>
      </c>
      <c r="BG15" s="32"/>
      <c r="BH15" s="32"/>
      <c r="BI15" s="32"/>
      <c r="BJ15" s="32"/>
      <c r="BK15" s="32"/>
      <c r="BL15" s="32"/>
      <c r="BN15" s="19" t="s">
        <v>98</v>
      </c>
      <c r="BO15" s="19" t="s">
        <v>99</v>
      </c>
      <c r="BP15" s="19" t="s">
        <v>100</v>
      </c>
      <c r="BQ15" s="19" t="s">
        <v>101</v>
      </c>
      <c r="BS15" s="19" t="s">
        <v>98</v>
      </c>
      <c r="BT15" s="32" t="s">
        <v>99</v>
      </c>
      <c r="BU15" s="32"/>
      <c r="BV15" s="19" t="s">
        <v>103</v>
      </c>
      <c r="BW15" s="32" t="s">
        <v>105</v>
      </c>
      <c r="BX15" s="32"/>
      <c r="BY15" s="32"/>
      <c r="BZ15" s="32"/>
      <c r="CA15" s="32"/>
      <c r="CB15" s="32"/>
      <c r="CC15" s="32"/>
      <c r="CE15" s="19" t="s">
        <v>98</v>
      </c>
      <c r="CF15" s="19" t="s">
        <v>99</v>
      </c>
      <c r="CG15" s="19" t="s">
        <v>100</v>
      </c>
      <c r="CH15" s="19" t="s">
        <v>101</v>
      </c>
      <c r="CJ15" s="4" t="s">
        <v>109</v>
      </c>
      <c r="CK15" s="8" t="s">
        <v>60</v>
      </c>
      <c r="CM15" s="19" t="s">
        <v>98</v>
      </c>
      <c r="CN15" s="19" t="s">
        <v>99</v>
      </c>
      <c r="CO15" s="19" t="s">
        <v>100</v>
      </c>
      <c r="CP15" s="19" t="s">
        <v>101</v>
      </c>
      <c r="CT15" t="s">
        <v>36</v>
      </c>
      <c r="CY15" t="s">
        <v>38</v>
      </c>
      <c r="DD15" t="s">
        <v>38</v>
      </c>
    </row>
    <row r="16" spans="6:106" ht="15">
      <c r="F16" t="s">
        <v>67</v>
      </c>
      <c r="G16" t="s">
        <v>68</v>
      </c>
      <c r="H16" t="s">
        <v>69</v>
      </c>
      <c r="I16" s="9" t="s">
        <v>70</v>
      </c>
      <c r="J16" s="11" t="s">
        <v>72</v>
      </c>
      <c r="K16" s="11" t="s">
        <v>73</v>
      </c>
      <c r="L16" s="11" t="s">
        <v>74</v>
      </c>
      <c r="M16" s="11" t="s">
        <v>75</v>
      </c>
      <c r="N16" s="11" t="s">
        <v>76</v>
      </c>
      <c r="O16" s="11" t="s">
        <v>77</v>
      </c>
      <c r="P16" s="11" t="s">
        <v>78</v>
      </c>
      <c r="R16" t="s">
        <v>92</v>
      </c>
      <c r="S16" t="s">
        <v>81</v>
      </c>
      <c r="T16" t="s">
        <v>82</v>
      </c>
      <c r="U16" t="s">
        <v>83</v>
      </c>
      <c r="W16" t="s">
        <v>94</v>
      </c>
      <c r="X16" t="s">
        <v>96</v>
      </c>
      <c r="Y16" t="s">
        <v>84</v>
      </c>
      <c r="Z16" t="s">
        <v>85</v>
      </c>
      <c r="AD16" t="s">
        <v>93</v>
      </c>
      <c r="AE16" t="s">
        <v>55</v>
      </c>
      <c r="AF16" t="s">
        <v>86</v>
      </c>
      <c r="AG16" t="s">
        <v>87</v>
      </c>
      <c r="AI16" t="s">
        <v>95</v>
      </c>
      <c r="AJ16" t="s">
        <v>97</v>
      </c>
      <c r="AK16" t="s">
        <v>88</v>
      </c>
      <c r="AL16" t="s">
        <v>89</v>
      </c>
      <c r="AP16" s="31" t="s">
        <v>102</v>
      </c>
      <c r="AQ16" s="31"/>
      <c r="AR16" s="31"/>
      <c r="AS16" s="31"/>
      <c r="AU16" s="31" t="s">
        <v>36</v>
      </c>
      <c r="AV16" s="31"/>
      <c r="AW16" s="31"/>
      <c r="AX16" s="31"/>
      <c r="BB16" s="4" t="s">
        <v>10</v>
      </c>
      <c r="BC16" t="s">
        <v>45</v>
      </c>
      <c r="BD16" t="s">
        <v>44</v>
      </c>
      <c r="BE16" t="s">
        <v>104</v>
      </c>
      <c r="BF16" t="s">
        <v>43</v>
      </c>
      <c r="BG16" t="s">
        <v>44</v>
      </c>
      <c r="BH16" t="s">
        <v>45</v>
      </c>
      <c r="BI16" t="s">
        <v>46</v>
      </c>
      <c r="BJ16" t="s">
        <v>47</v>
      </c>
      <c r="BK16" t="s">
        <v>48</v>
      </c>
      <c r="BL16" t="s">
        <v>49</v>
      </c>
      <c r="CT16" s="19" t="s">
        <v>98</v>
      </c>
      <c r="CU16" s="19" t="s">
        <v>99</v>
      </c>
      <c r="CV16" s="19" t="s">
        <v>100</v>
      </c>
      <c r="CW16" s="19" t="s">
        <v>101</v>
      </c>
      <c r="CY16" s="19" t="s">
        <v>98</v>
      </c>
      <c r="CZ16" s="19" t="s">
        <v>99</v>
      </c>
      <c r="DA16" s="19" t="s">
        <v>103</v>
      </c>
      <c r="DB16" s="19" t="s">
        <v>105</v>
      </c>
    </row>
    <row r="17" spans="18:114" ht="15">
      <c r="R17" t="s">
        <v>90</v>
      </c>
      <c r="S17" t="s">
        <v>90</v>
      </c>
      <c r="T17" t="s">
        <v>90</v>
      </c>
      <c r="U17" t="s">
        <v>90</v>
      </c>
      <c r="W17" t="s">
        <v>90</v>
      </c>
      <c r="X17" t="s">
        <v>90</v>
      </c>
      <c r="Y17" t="s">
        <v>90</v>
      </c>
      <c r="Z17" t="s">
        <v>90</v>
      </c>
      <c r="AB17" t="s">
        <v>60</v>
      </c>
      <c r="AD17" t="s">
        <v>91</v>
      </c>
      <c r="AE17" t="s">
        <v>91</v>
      </c>
      <c r="AF17" t="s">
        <v>91</v>
      </c>
      <c r="AG17" t="s">
        <v>91</v>
      </c>
      <c r="AI17" t="s">
        <v>91</v>
      </c>
      <c r="AJ17" t="s">
        <v>91</v>
      </c>
      <c r="AK17" t="s">
        <v>91</v>
      </c>
      <c r="AL17" t="s">
        <v>91</v>
      </c>
      <c r="AP17" t="s">
        <v>98</v>
      </c>
      <c r="AQ17" t="s">
        <v>99</v>
      </c>
      <c r="AR17" t="s">
        <v>100</v>
      </c>
      <c r="AS17" t="s">
        <v>101</v>
      </c>
      <c r="AU17" t="s">
        <v>98</v>
      </c>
      <c r="AV17" t="s">
        <v>99</v>
      </c>
      <c r="AW17" t="s">
        <v>100</v>
      </c>
      <c r="AX17" t="s">
        <v>101</v>
      </c>
      <c r="BB17" s="4"/>
      <c r="DF17" t="s">
        <v>125</v>
      </c>
      <c r="DH17" t="s">
        <v>111</v>
      </c>
      <c r="DI17" t="s">
        <v>120</v>
      </c>
      <c r="DJ17" t="s">
        <v>122</v>
      </c>
    </row>
    <row r="18" spans="6:114" ht="15">
      <c r="F18" s="12">
        <v>0</v>
      </c>
      <c r="G18" s="12">
        <f>G4/(G4+H4)</f>
        <v>0.2099999999065247</v>
      </c>
      <c r="H18" s="12">
        <f>H4/(G4+H4)</f>
        <v>0.7900000000934753</v>
      </c>
      <c r="I18" s="14">
        <f>I4/I4</f>
        <v>1</v>
      </c>
      <c r="J18" s="14">
        <f>J4/($J$4+$K$4+$L$4+$M$4+$N$4+$O$4+$P$4)</f>
        <v>0</v>
      </c>
      <c r="K18" s="14">
        <f aca="true" t="shared" si="0" ref="K18:P18">K4/($J$4+$K$4+$L$4+$M$4+$N$4+$O$4+$P$4)</f>
        <v>0.06614124145520667</v>
      </c>
      <c r="L18" s="14">
        <f t="shared" si="0"/>
        <v>0</v>
      </c>
      <c r="M18" s="14">
        <f t="shared" si="0"/>
        <v>0.32000236354627876</v>
      </c>
      <c r="N18" s="14">
        <f t="shared" si="0"/>
        <v>0.4299298517066386</v>
      </c>
      <c r="O18" s="14">
        <f t="shared" si="0"/>
        <v>4.1178430304422136E-07</v>
      </c>
      <c r="P18" s="14">
        <f t="shared" si="0"/>
        <v>0.18392613150757287</v>
      </c>
      <c r="Q18" s="15"/>
      <c r="R18">
        <f>'ASPEN Ex steam'!Y7</f>
        <v>0</v>
      </c>
      <c r="S18">
        <f>'ASPEN Ex steam'!O7</f>
        <v>-12532.7912</v>
      </c>
      <c r="T18">
        <f>'ASPEN Ex steam'!P7</f>
        <v>451147249</v>
      </c>
      <c r="U18">
        <f>'ASPEN Ex steam'!Q7</f>
        <v>-18443300.9</v>
      </c>
      <c r="W18">
        <f>'ASPEN Ex steam'!AA7</f>
        <v>0</v>
      </c>
      <c r="X18">
        <f>S18</f>
        <v>-12532.7912</v>
      </c>
      <c r="Y18" s="5">
        <f>'ASPEN Ex steam'!R7</f>
        <v>95447533.7</v>
      </c>
      <c r="Z18">
        <f>'ASPEN Ex steam'!S7</f>
        <v>-61236363.6</v>
      </c>
      <c r="AB18">
        <v>298</v>
      </c>
      <c r="AD18">
        <f>'ASPEN Ex steam'!Z7</f>
        <v>0</v>
      </c>
      <c r="AE18">
        <f>'ASPEN Ex steam'!T7</f>
        <v>4233.3924</v>
      </c>
      <c r="AF18">
        <f>'ASPEN Ex steam'!U7</f>
        <v>93584.8236</v>
      </c>
      <c r="AG18">
        <f>'ASPEN Ex steam'!V7</f>
        <v>89841.6031</v>
      </c>
      <c r="AI18">
        <f>'ASPEN Ex steam'!AB7</f>
        <v>0</v>
      </c>
      <c r="AJ18">
        <f>AE18</f>
        <v>4233.3924</v>
      </c>
      <c r="AK18">
        <f>'ASPEN Ex steam'!W7</f>
        <v>-393625.545</v>
      </c>
      <c r="AL18">
        <f>'ASPEN Ex steam'!X7</f>
        <v>33661.8488</v>
      </c>
      <c r="AP18">
        <f>(R18-W18)-AB18*(AD18-AI18)</f>
        <v>0</v>
      </c>
      <c r="AQ18">
        <f>(S18-X18)-AB18*(AE18-AJ18)</f>
        <v>0</v>
      </c>
      <c r="AR18">
        <f>(T18-Y18)-AB18*(AF18-AK18)</f>
        <v>210511025.45720002</v>
      </c>
      <c r="AS18">
        <f>(U18-Z18)-AB18*(AG18-AL18)</f>
        <v>26051495.918600004</v>
      </c>
      <c r="AU18">
        <f>AP18/1000000</f>
        <v>0</v>
      </c>
      <c r="AV18">
        <f>AQ18/1000000</f>
        <v>0</v>
      </c>
      <c r="AW18">
        <f>AR18/1000000</f>
        <v>210.51102545720002</v>
      </c>
      <c r="AX18">
        <f>AS18/1000000</f>
        <v>26.051495918600004</v>
      </c>
      <c r="BB18">
        <f>F18*$BB$12</f>
        <v>0</v>
      </c>
      <c r="BC18">
        <f>G18*$BC$12</f>
        <v>0.8336999996289032</v>
      </c>
      <c r="BD18">
        <f>H18*$BD$12</f>
        <v>0.5688000000673021</v>
      </c>
      <c r="BE18">
        <f>I18*$BE$12</f>
        <v>4458.1845</v>
      </c>
      <c r="BF18">
        <f>J18*$BF$12</f>
        <v>0</v>
      </c>
      <c r="BG18">
        <f>K18*$BG$12</f>
        <v>0.0476216938477488</v>
      </c>
      <c r="BH18">
        <f>L18*$BH$12</f>
        <v>0</v>
      </c>
      <c r="BI18">
        <f>M18*$BI$12</f>
        <v>75.55255803327641</v>
      </c>
      <c r="BJ18">
        <f>N18*$BJ$12</f>
        <v>118.23500851784269</v>
      </c>
      <c r="BK18">
        <f>O18*$BK$12</f>
        <v>8.157447043306024E-06</v>
      </c>
      <c r="BL18">
        <f>P18*$BL$12</f>
        <v>152.96216726827296</v>
      </c>
      <c r="BN18">
        <f>BB18</f>
        <v>0</v>
      </c>
      <c r="BO18">
        <f>BC18+BD18</f>
        <v>1.4024999996962053</v>
      </c>
      <c r="BP18">
        <f>BE18</f>
        <v>4458.1845</v>
      </c>
      <c r="BQ18">
        <f>SUM(BF18:BL18)</f>
        <v>346.7973636706869</v>
      </c>
      <c r="BS18" s="15"/>
      <c r="BT18" s="15">
        <f aca="true" t="shared" si="1" ref="BT18:CC28">G18*LN(G18)</f>
        <v>-0.3277360270831736</v>
      </c>
      <c r="BU18" s="15">
        <f t="shared" si="1"/>
        <v>-0.18622064341020414</v>
      </c>
      <c r="BV18" s="15">
        <f t="shared" si="1"/>
        <v>0</v>
      </c>
      <c r="BW18" s="15"/>
      <c r="BX18" s="15">
        <f t="shared" si="1"/>
        <v>-0.1796371514368857</v>
      </c>
      <c r="BY18" s="15"/>
      <c r="BZ18" s="15">
        <f t="shared" si="1"/>
        <v>-0.36461930017092925</v>
      </c>
      <c r="CA18" s="15">
        <f t="shared" si="1"/>
        <v>-0.3629180697377776</v>
      </c>
      <c r="CB18" s="15">
        <f t="shared" si="1"/>
        <v>-6.054368316425553E-06</v>
      </c>
      <c r="CC18" s="15">
        <f t="shared" si="1"/>
        <v>-0.31142759956951444</v>
      </c>
      <c r="CE18" s="15">
        <f>BS18</f>
        <v>0</v>
      </c>
      <c r="CF18" s="15">
        <f>BT18+BU18</f>
        <v>-0.5139566704933778</v>
      </c>
      <c r="CG18" s="15">
        <f>BV18</f>
        <v>0</v>
      </c>
      <c r="CH18" s="15">
        <f>SUM(BW18:CC18)</f>
        <v>-1.2186081752834235</v>
      </c>
      <c r="CJ18">
        <f>8.3144/1000</f>
        <v>0.0083144</v>
      </c>
      <c r="CK18">
        <v>298.15</v>
      </c>
      <c r="CM18">
        <f>BN18+CJ18*CK18*CE18</f>
        <v>0</v>
      </c>
      <c r="CN18">
        <f>BO18+CJ18*CK18*CF18</f>
        <v>0.12843309383229107</v>
      </c>
      <c r="CO18">
        <f>BP18+CJ18*CK18*CG18</f>
        <v>4458.1845</v>
      </c>
      <c r="CP18">
        <f>BQ18+CJ18*CK18*CH18</f>
        <v>343.7765091191672</v>
      </c>
      <c r="CT18">
        <f>AU18+CM18</f>
        <v>0</v>
      </c>
      <c r="CU18">
        <f>AV18+CN18</f>
        <v>0.12843309383229107</v>
      </c>
      <c r="CV18">
        <f>AW18+CO18</f>
        <v>4668.6955254572</v>
      </c>
      <c r="CW18">
        <f>AX18+CP18</f>
        <v>369.8280050377672</v>
      </c>
      <c r="CY18">
        <f>CT18*F4*1000</f>
        <v>0</v>
      </c>
      <c r="CZ18" s="5">
        <f>CU18*(G4+H4)*1000</f>
        <v>0.0001236581220911882</v>
      </c>
      <c r="DA18" s="5">
        <f>CV18*I4*1000</f>
        <v>8214.495404722224</v>
      </c>
      <c r="DB18">
        <f>CW18*SUM(J4:P4)*1000</f>
        <v>44985.16846622408</v>
      </c>
      <c r="DD18">
        <f>'Ch-exr of biomass'!$E$34</f>
        <v>63893.67098902874</v>
      </c>
      <c r="DF18" s="30">
        <v>0</v>
      </c>
      <c r="DH18" s="13">
        <f>(DB18+DA18)/(CY18+CZ18+DD18)</f>
        <v>0.8326280669820968</v>
      </c>
      <c r="DI18" s="13">
        <f>(CV33+CW33)/(CT33+CU33+DD18)</f>
        <v>0.055392728042669113</v>
      </c>
      <c r="DJ18" s="13">
        <f>(DB33+DA33)/(CZ33+CY33+DD18)</f>
        <v>0.7772353390466333</v>
      </c>
    </row>
    <row r="19" spans="6:114" ht="15">
      <c r="F19" s="12">
        <f aca="true" t="shared" si="2" ref="F19:F28">F5/F5</f>
        <v>1</v>
      </c>
      <c r="G19" s="12">
        <f aca="true" t="shared" si="3" ref="G19:G28">G5/(G5+H5)</f>
        <v>0.2099999999065247</v>
      </c>
      <c r="H19" s="12">
        <f aca="true" t="shared" si="4" ref="H19:H28">H5/(G5+H5)</f>
        <v>0.7900000000934753</v>
      </c>
      <c r="I19" s="14">
        <f aca="true" t="shared" si="5" ref="I19:I21">I5/I5</f>
        <v>1</v>
      </c>
      <c r="J19" s="14">
        <f>J5/($J$5+$K$5+$L$5+$M$5+$N$5+$O$5+$P$5)</f>
        <v>0</v>
      </c>
      <c r="K19" s="14">
        <f aca="true" t="shared" si="6" ref="K19:P19">K5/($J$5+$K$5+$L$5+$M$5+$N$5+$O$5+$P$5)</f>
        <v>0.06437398816102556</v>
      </c>
      <c r="L19" s="14">
        <f t="shared" si="6"/>
        <v>0</v>
      </c>
      <c r="M19" s="14">
        <f t="shared" si="6"/>
        <v>0.30515632408900645</v>
      </c>
      <c r="N19" s="14">
        <f t="shared" si="6"/>
        <v>0.4332754382026994</v>
      </c>
      <c r="O19" s="14">
        <f t="shared" si="6"/>
        <v>7.841798161188882E-07</v>
      </c>
      <c r="P19" s="14">
        <f t="shared" si="6"/>
        <v>0.1971934653674524</v>
      </c>
      <c r="Q19" s="15"/>
      <c r="R19">
        <f>'ASPEN Ex steam'!Y8</f>
        <v>-281599973</v>
      </c>
      <c r="S19">
        <f>'ASPEN Ex steam'!O8</f>
        <v>-12532.7912</v>
      </c>
      <c r="T19">
        <f>'ASPEN Ex steam'!P8</f>
        <v>434886477</v>
      </c>
      <c r="U19">
        <f>'ASPEN Ex steam'!Q8</f>
        <v>-21476120.5</v>
      </c>
      <c r="W19">
        <f>'ASPEN Ex steam'!AA8</f>
        <v>-287753612</v>
      </c>
      <c r="X19">
        <f aca="true" t="shared" si="7" ref="X19:X28">S19</f>
        <v>-12532.7912</v>
      </c>
      <c r="Y19" s="5">
        <f>'ASPEN Ex steam'!R8</f>
        <v>95407475</v>
      </c>
      <c r="Z19">
        <f>'ASPEN Ex steam'!S8</f>
        <v>-62595267.2</v>
      </c>
      <c r="AB19">
        <v>298</v>
      </c>
      <c r="AD19">
        <f>'ASPEN Ex steam'!Z8</f>
        <v>-149605.666</v>
      </c>
      <c r="AE19">
        <f>'ASPEN Ex steam'!T8</f>
        <v>4233.3924</v>
      </c>
      <c r="AF19">
        <f>'ASPEN Ex steam'!U8</f>
        <v>82134.1573</v>
      </c>
      <c r="AG19">
        <f>'ASPEN Ex steam'!V8</f>
        <v>88125.1878</v>
      </c>
      <c r="AI19">
        <v>-168014.842</v>
      </c>
      <c r="AJ19">
        <f aca="true" t="shared" si="8" ref="AJ19:AJ28">AE19</f>
        <v>4233.3924</v>
      </c>
      <c r="AK19">
        <f>'ASPEN Ex steam'!W8</f>
        <v>-393604.742</v>
      </c>
      <c r="AL19">
        <f>'ASPEN Ex steam'!X8</f>
        <v>32913.2451</v>
      </c>
      <c r="AP19">
        <f aca="true" t="shared" si="9" ref="AP19:AP28">(R19-W19)-AB19*(AD19-AI19)</f>
        <v>667704.5519999983</v>
      </c>
      <c r="AQ19">
        <f aca="true" t="shared" si="10" ref="AQ19:AQ28">(S19-X19)-AB19*(AE19-AJ19)</f>
        <v>0</v>
      </c>
      <c r="AR19">
        <f aca="true" t="shared" si="11" ref="AR19:AR28">(T19-Y19)-AB19*(AF19-AK19)</f>
        <v>197708810.0086</v>
      </c>
      <c r="AS19">
        <f aca="true" t="shared" si="12" ref="AS19:AS28">(U19-Z19)-AB19*(AG19-AL19)</f>
        <v>24665987.775400005</v>
      </c>
      <c r="AU19">
        <f aca="true" t="shared" si="13" ref="AU19:AU28">AP19/1000000</f>
        <v>0.6677045519999982</v>
      </c>
      <c r="AV19">
        <f aca="true" t="shared" si="14" ref="AV19:AV28">AQ19/1000000</f>
        <v>0</v>
      </c>
      <c r="AW19">
        <f aca="true" t="shared" si="15" ref="AW19:AW28">AR19/1000000</f>
        <v>197.70881000859998</v>
      </c>
      <c r="AX19">
        <f aca="true" t="shared" si="16" ref="AX19:AX28">AS19/1000000</f>
        <v>24.665987775400005</v>
      </c>
      <c r="BB19">
        <f aca="true" t="shared" si="17" ref="BB19:BB28">F19*$BB$12</f>
        <v>11.39</v>
      </c>
      <c r="BC19">
        <f aca="true" t="shared" si="18" ref="BC19:BC28">G19*$BC$12</f>
        <v>0.8336999996289032</v>
      </c>
      <c r="BD19">
        <f aca="true" t="shared" si="19" ref="BD19:BD28">H19*$BD$12</f>
        <v>0.5688000000673021</v>
      </c>
      <c r="BE19">
        <f aca="true" t="shared" si="20" ref="BE19:BE28">I19*$BE$12</f>
        <v>4458.1845</v>
      </c>
      <c r="BF19">
        <f aca="true" t="shared" si="21" ref="BF19:BF28">J19*$BF$12</f>
        <v>0</v>
      </c>
      <c r="BG19">
        <f aca="true" t="shared" si="22" ref="BG19:BG28">K19*$BG$12</f>
        <v>0.046349271475938404</v>
      </c>
      <c r="BH19">
        <f aca="true" t="shared" si="23" ref="BH19:BH28">L19*$BH$12</f>
        <v>0</v>
      </c>
      <c r="BI19">
        <f aca="true" t="shared" si="24" ref="BI19:BI28">M19*$BI$12</f>
        <v>72.04740811741442</v>
      </c>
      <c r="BJ19">
        <f aca="true" t="shared" si="25" ref="BJ19:BJ28">N19*$BJ$12</f>
        <v>119.15507826012437</v>
      </c>
      <c r="BK19">
        <f aca="true" t="shared" si="26" ref="BK19:BK28">O19*$BK$12</f>
        <v>1.5534602157315175E-05</v>
      </c>
      <c r="BL19">
        <f aca="true" t="shared" si="27" ref="BL19:BL28">P19*$BL$12</f>
        <v>163.99594547284178</v>
      </c>
      <c r="BN19">
        <f aca="true" t="shared" si="28" ref="BN19:BN28">BB19</f>
        <v>11.39</v>
      </c>
      <c r="BO19">
        <f aca="true" t="shared" si="29" ref="BO19:BO28">BC19+BD19</f>
        <v>1.4024999996962053</v>
      </c>
      <c r="BP19">
        <f aca="true" t="shared" si="30" ref="BP19:BP28">BE19</f>
        <v>4458.1845</v>
      </c>
      <c r="BQ19">
        <f aca="true" t="shared" si="31" ref="BQ19:BQ28">SUM(BF19:BL19)</f>
        <v>355.2447966564587</v>
      </c>
      <c r="BS19" s="15">
        <f aca="true" t="shared" si="32" ref="BS19:BS28">F19*LN(F19)</f>
        <v>0</v>
      </c>
      <c r="BT19" s="15">
        <f t="shared" si="1"/>
        <v>-0.3277360270831736</v>
      </c>
      <c r="BU19" s="15">
        <f t="shared" si="1"/>
        <v>-0.18622064341020414</v>
      </c>
      <c r="BV19" s="15"/>
      <c r="BW19" s="15"/>
      <c r="BX19" s="15">
        <f t="shared" si="1"/>
        <v>-0.1765807874263278</v>
      </c>
      <c r="BY19" s="15"/>
      <c r="BZ19" s="15">
        <f t="shared" si="1"/>
        <v>-0.36219953010486494</v>
      </c>
      <c r="CA19" s="15">
        <f t="shared" si="1"/>
        <v>-0.3623836203946115</v>
      </c>
      <c r="CB19" s="15">
        <f t="shared" si="1"/>
        <v>-1.102449191654165E-05</v>
      </c>
      <c r="CC19" s="15">
        <f t="shared" si="1"/>
        <v>-0.32015738952726336</v>
      </c>
      <c r="CE19" s="15">
        <f aca="true" t="shared" si="33" ref="CE19:CE28">BS19</f>
        <v>0</v>
      </c>
      <c r="CF19" s="15">
        <f aca="true" t="shared" si="34" ref="CF19:CF28">BT19+BU19</f>
        <v>-0.5139566704933778</v>
      </c>
      <c r="CG19" s="15">
        <f aca="true" t="shared" si="35" ref="CG19:CG28">BV19</f>
        <v>0</v>
      </c>
      <c r="CH19" s="15">
        <f aca="true" t="shared" si="36" ref="CH19:CH28">SUM(BW19:CC19)</f>
        <v>-1.2213323519449841</v>
      </c>
      <c r="CJ19">
        <f aca="true" t="shared" si="37" ref="CJ19:CJ28">8.3144/1000</f>
        <v>0.0083144</v>
      </c>
      <c r="CK19">
        <v>298.15</v>
      </c>
      <c r="CM19">
        <f aca="true" t="shared" si="38" ref="CM19:CM28">BN19+CJ19*CK19*CE19</f>
        <v>11.39</v>
      </c>
      <c r="CN19">
        <f aca="true" t="shared" si="39" ref="CN19:CN28">BO19+CJ19*CK19*CF19</f>
        <v>0.12843309383229107</v>
      </c>
      <c r="CO19">
        <f aca="true" t="shared" si="40" ref="CO19:CO28">BP19+CJ19*CK19*CG19</f>
        <v>4458.1845</v>
      </c>
      <c r="CP19">
        <f aca="true" t="shared" si="41" ref="CP19:CP28">BQ19+CJ19*CK19*CH19</f>
        <v>352.21718903891326</v>
      </c>
      <c r="CT19">
        <f aca="true" t="shared" si="42" ref="CT19:CT28">AU19+CM19</f>
        <v>12.057704551999999</v>
      </c>
      <c r="CU19">
        <f aca="true" t="shared" si="43" ref="CU19:CU28">AV19+CN19</f>
        <v>0.12843309383229107</v>
      </c>
      <c r="CV19">
        <f aca="true" t="shared" si="44" ref="CV19:CV28">AW19+CO19</f>
        <v>4655.893310008601</v>
      </c>
      <c r="CW19">
        <f aca="true" t="shared" si="45" ref="CW19:CW28">AX19+CP19</f>
        <v>376.8831768143133</v>
      </c>
      <c r="CY19">
        <f aca="true" t="shared" si="46" ref="CY19:CY28">CT19*F5*1000</f>
        <v>76.3006913892012</v>
      </c>
      <c r="CZ19" s="5">
        <f aca="true" t="shared" si="47" ref="CZ19:CZ28">CU19*(G5+H5)*1000</f>
        <v>0.0001236581220911882</v>
      </c>
      <c r="DA19" s="5">
        <f aca="true" t="shared" si="48" ref="DA19:DA28">CV19*I5*1000</f>
        <v>2001.9702630710583</v>
      </c>
      <c r="DB19">
        <f aca="true" t="shared" si="49" ref="DB19:DB28">CW19*SUM(J5:P5)*1000</f>
        <v>50993.71011696874</v>
      </c>
      <c r="DD19">
        <f>'Ch-exr of biomass'!$E$34</f>
        <v>63893.67098902874</v>
      </c>
      <c r="DF19" s="30">
        <v>0.05896551724137931</v>
      </c>
      <c r="DH19" s="13">
        <f aca="true" t="shared" si="50" ref="DH19:DH28">(DB19+DA19)/(CY19+CZ19+DD19)</f>
        <v>0.8284462050780989</v>
      </c>
      <c r="DI19" s="13">
        <f aca="true" t="shared" si="51" ref="DI19:DI28">(CV34+CW34)/(CT34+CU34+DD19)</f>
        <v>0.05356065095743533</v>
      </c>
      <c r="DJ19" s="13">
        <f aca="true" t="shared" si="52" ref="DJ19:DJ28">(DB34+DA34)/(CZ34+CY34+DD19)</f>
        <v>0.7749970899035734</v>
      </c>
    </row>
    <row r="20" spans="6:114" ht="15">
      <c r="F20" s="12">
        <f t="shared" si="2"/>
        <v>1</v>
      </c>
      <c r="G20" s="12">
        <f t="shared" si="3"/>
        <v>0.2099999999065247</v>
      </c>
      <c r="H20" s="12">
        <f t="shared" si="4"/>
        <v>0.7900000000934753</v>
      </c>
      <c r="I20" s="14">
        <f t="shared" si="5"/>
        <v>1</v>
      </c>
      <c r="J20" s="14">
        <f>J6/($J$6+$K$6+$L$6+$M$6+$N$6+$O$6+$P$6)</f>
        <v>0</v>
      </c>
      <c r="K20" s="14">
        <f aca="true" t="shared" si="53" ref="K20:P20">K6/($J$6+$K$6+$L$6+$M$6+$N$6+$O$6+$P$6)</f>
        <v>0.058499544957187545</v>
      </c>
      <c r="L20" s="14">
        <f t="shared" si="53"/>
        <v>0</v>
      </c>
      <c r="M20" s="14">
        <f t="shared" si="53"/>
        <v>0.359814278281143</v>
      </c>
      <c r="N20" s="14">
        <f t="shared" si="53"/>
        <v>0.425717349450642</v>
      </c>
      <c r="O20" s="14">
        <f t="shared" si="53"/>
        <v>7.374806706999262E-06</v>
      </c>
      <c r="P20" s="14">
        <f t="shared" si="53"/>
        <v>0.1559614525043205</v>
      </c>
      <c r="Q20" s="15"/>
      <c r="R20">
        <f>'ASPEN Ex steam'!Y9</f>
        <v>-281599973</v>
      </c>
      <c r="S20">
        <f>'ASPEN Ex steam'!O9</f>
        <v>-12532.7912</v>
      </c>
      <c r="T20">
        <f>'ASPEN Ex steam'!P9</f>
        <v>396644172</v>
      </c>
      <c r="U20">
        <f>'ASPEN Ex steam'!Q9</f>
        <v>-23198929.1</v>
      </c>
      <c r="W20">
        <f>'ASPEN Ex steam'!AA9</f>
        <v>-287753612</v>
      </c>
      <c r="X20">
        <f t="shared" si="7"/>
        <v>-12532.7912</v>
      </c>
      <c r="Y20" s="5">
        <f>'ASPEN Ex steam'!R9</f>
        <v>90002073.2</v>
      </c>
      <c r="Z20">
        <f>'ASPEN Ex steam'!S9</f>
        <v>-58688891</v>
      </c>
      <c r="AB20">
        <v>298</v>
      </c>
      <c r="AD20">
        <f>'ASPEN Ex steam'!Z9</f>
        <v>-149605.666</v>
      </c>
      <c r="AE20">
        <f>'ASPEN Ex steam'!T9</f>
        <v>4233.3924</v>
      </c>
      <c r="AF20">
        <f>'ASPEN Ex steam'!U9</f>
        <v>59292.8853</v>
      </c>
      <c r="AG20">
        <f>'ASPEN Ex steam'!V9</f>
        <v>85677.6747</v>
      </c>
      <c r="AI20">
        <v>-168014.842</v>
      </c>
      <c r="AJ20">
        <f t="shared" si="8"/>
        <v>4233.3924</v>
      </c>
      <c r="AK20">
        <f>'ASPEN Ex steam'!W9</f>
        <v>-391484.708</v>
      </c>
      <c r="AL20">
        <f>'ASPEN Ex steam'!X9</f>
        <v>35280.8361</v>
      </c>
      <c r="AP20">
        <f t="shared" si="9"/>
        <v>667704.5519999983</v>
      </c>
      <c r="AQ20">
        <f t="shared" si="10"/>
        <v>0</v>
      </c>
      <c r="AR20">
        <f t="shared" si="11"/>
        <v>172310375.9966</v>
      </c>
      <c r="AS20">
        <f t="shared" si="12"/>
        <v>20471703.997199997</v>
      </c>
      <c r="AU20">
        <f t="shared" si="13"/>
        <v>0.6677045519999982</v>
      </c>
      <c r="AV20">
        <f t="shared" si="14"/>
        <v>0</v>
      </c>
      <c r="AW20">
        <f t="shared" si="15"/>
        <v>172.31037599660002</v>
      </c>
      <c r="AX20">
        <f t="shared" si="16"/>
        <v>20.4717039972</v>
      </c>
      <c r="BB20">
        <f t="shared" si="17"/>
        <v>11.39</v>
      </c>
      <c r="BC20">
        <f t="shared" si="18"/>
        <v>0.8336999996289032</v>
      </c>
      <c r="BD20">
        <f t="shared" si="19"/>
        <v>0.5688000000673021</v>
      </c>
      <c r="BE20">
        <f t="shared" si="20"/>
        <v>4458.1845</v>
      </c>
      <c r="BF20">
        <f t="shared" si="21"/>
        <v>0</v>
      </c>
      <c r="BG20">
        <f t="shared" si="22"/>
        <v>0.04211967236917503</v>
      </c>
      <c r="BH20">
        <f t="shared" si="23"/>
        <v>0</v>
      </c>
      <c r="BI20">
        <f t="shared" si="24"/>
        <v>84.95215110217785</v>
      </c>
      <c r="BJ20">
        <f t="shared" si="25"/>
        <v>117.07652827242104</v>
      </c>
      <c r="BK20">
        <f t="shared" si="26"/>
        <v>0.00014609492086565536</v>
      </c>
      <c r="BL20">
        <f t="shared" si="27"/>
        <v>129.70534197521815</v>
      </c>
      <c r="BN20">
        <f t="shared" si="28"/>
        <v>11.39</v>
      </c>
      <c r="BO20">
        <f t="shared" si="29"/>
        <v>1.4024999996962053</v>
      </c>
      <c r="BP20">
        <f t="shared" si="30"/>
        <v>4458.1845</v>
      </c>
      <c r="BQ20">
        <f t="shared" si="31"/>
        <v>331.77628711710713</v>
      </c>
      <c r="BS20" s="15">
        <f t="shared" si="32"/>
        <v>0</v>
      </c>
      <c r="BT20" s="15">
        <f t="shared" si="1"/>
        <v>-0.3277360270831736</v>
      </c>
      <c r="BU20" s="15">
        <f t="shared" si="1"/>
        <v>-0.18622064341020414</v>
      </c>
      <c r="BV20" s="15"/>
      <c r="BW20" s="15"/>
      <c r="BX20" s="15">
        <f t="shared" si="1"/>
        <v>-0.16606478199557406</v>
      </c>
      <c r="BY20" s="15"/>
      <c r="BZ20" s="15">
        <f t="shared" si="1"/>
        <v>-0.367790380090037</v>
      </c>
      <c r="CA20" s="15">
        <f t="shared" si="1"/>
        <v>-0.36355395387792366</v>
      </c>
      <c r="CB20" s="15">
        <f t="shared" si="1"/>
        <v>-8.715134215299854E-05</v>
      </c>
      <c r="CC20" s="15">
        <f t="shared" si="1"/>
        <v>-0.28979921175889256</v>
      </c>
      <c r="CE20" s="15">
        <f t="shared" si="33"/>
        <v>0</v>
      </c>
      <c r="CF20" s="15">
        <f t="shared" si="34"/>
        <v>-0.5139566704933778</v>
      </c>
      <c r="CG20" s="15">
        <f t="shared" si="35"/>
        <v>0</v>
      </c>
      <c r="CH20" s="15">
        <f t="shared" si="36"/>
        <v>-1.1872954790645802</v>
      </c>
      <c r="CJ20">
        <f t="shared" si="37"/>
        <v>0.0083144</v>
      </c>
      <c r="CK20">
        <v>298.15</v>
      </c>
      <c r="CM20">
        <f t="shared" si="38"/>
        <v>11.39</v>
      </c>
      <c r="CN20">
        <f t="shared" si="39"/>
        <v>0.12843309383229107</v>
      </c>
      <c r="CO20">
        <f t="shared" si="40"/>
        <v>4458.1845</v>
      </c>
      <c r="CP20">
        <f t="shared" si="41"/>
        <v>328.83305480939936</v>
      </c>
      <c r="CT20">
        <f t="shared" si="42"/>
        <v>12.057704551999999</v>
      </c>
      <c r="CU20">
        <f t="shared" si="43"/>
        <v>0.12843309383229107</v>
      </c>
      <c r="CV20">
        <f t="shared" si="44"/>
        <v>4630.4948759966</v>
      </c>
      <c r="CW20">
        <f t="shared" si="45"/>
        <v>349.30475880659935</v>
      </c>
      <c r="CY20">
        <f t="shared" si="46"/>
        <v>152.6013827784024</v>
      </c>
      <c r="CZ20" s="5">
        <f t="shared" si="47"/>
        <v>0.0001236581220911882</v>
      </c>
      <c r="DA20" s="5">
        <f t="shared" si="48"/>
        <v>0.13473310979516528</v>
      </c>
      <c r="DB20">
        <f t="shared" si="49"/>
        <v>53291.90762857925</v>
      </c>
      <c r="DD20">
        <f>'Ch-exr of biomass'!$E$34</f>
        <v>63893.67098902874</v>
      </c>
      <c r="DF20" s="30">
        <v>0.11793103448275861</v>
      </c>
      <c r="DH20" s="13">
        <f t="shared" si="50"/>
        <v>0.8320865568790492</v>
      </c>
      <c r="DI20" s="13">
        <f t="shared" si="51"/>
        <v>0.048876058806951506</v>
      </c>
      <c r="DJ20" s="13">
        <f t="shared" si="52"/>
        <v>0.7834238718624296</v>
      </c>
    </row>
    <row r="21" spans="6:114" ht="15">
      <c r="F21" s="12">
        <f t="shared" si="2"/>
        <v>1</v>
      </c>
      <c r="G21" s="12">
        <f t="shared" si="3"/>
        <v>0.2099999999065247</v>
      </c>
      <c r="H21" s="12">
        <f t="shared" si="4"/>
        <v>0.7900000000934753</v>
      </c>
      <c r="I21" s="14">
        <f t="shared" si="5"/>
        <v>1</v>
      </c>
      <c r="J21" s="14">
        <f>J7/($J$7+$K$7+$L$7+$M$7+$N$7+$O$7+$P$7)</f>
        <v>0</v>
      </c>
      <c r="K21" s="14">
        <f aca="true" t="shared" si="54" ref="K21:P21">K7/($J$7+$K$7+$L$7+$M$7+$N$7+$O$7+$P$7)</f>
        <v>0.05204637135089523</v>
      </c>
      <c r="L21" s="14">
        <f t="shared" si="54"/>
        <v>0</v>
      </c>
      <c r="M21" s="14">
        <f t="shared" si="54"/>
        <v>0.43043359993436564</v>
      </c>
      <c r="N21" s="14">
        <f t="shared" si="54"/>
        <v>0.41526580665353385</v>
      </c>
      <c r="O21" s="14">
        <f t="shared" si="54"/>
        <v>0.000202025559022784</v>
      </c>
      <c r="P21" s="14">
        <f t="shared" si="54"/>
        <v>0.10205219650218247</v>
      </c>
      <c r="Q21" s="15"/>
      <c r="R21">
        <f>'ASPEN Ex steam'!Y10</f>
        <v>-281599973</v>
      </c>
      <c r="S21">
        <f>'ASPEN Ex steam'!O10</f>
        <v>-12532.7912</v>
      </c>
      <c r="T21">
        <f>'ASPEN Ex steam'!P10</f>
        <v>92835271.8</v>
      </c>
      <c r="U21">
        <f>'ASPEN Ex steam'!Q10</f>
        <v>-24534914.5</v>
      </c>
      <c r="W21">
        <f>'ASPEN Ex steam'!AA10</f>
        <v>-287753612</v>
      </c>
      <c r="X21">
        <f t="shared" si="7"/>
        <v>-12532.7912</v>
      </c>
      <c r="Y21" s="5">
        <f>'ASPEN Ex steam'!R10</f>
        <v>-134195824</v>
      </c>
      <c r="Z21">
        <f>'ASPEN Ex steam'!S10</f>
        <v>-53591810.6</v>
      </c>
      <c r="AB21">
        <v>298</v>
      </c>
      <c r="AD21">
        <f>'ASPEN Ex steam'!Z10</f>
        <v>-149605.666</v>
      </c>
      <c r="AE21">
        <f>'ASPEN Ex steam'!T10</f>
        <v>4233.3924</v>
      </c>
      <c r="AF21">
        <f>'ASPEN Ex steam'!U10</f>
        <v>30867.4868</v>
      </c>
      <c r="AG21">
        <f>'ASPEN Ex steam'!V10</f>
        <v>82580.769</v>
      </c>
      <c r="AI21">
        <v>-168014.842</v>
      </c>
      <c r="AJ21">
        <f t="shared" si="8"/>
        <v>4233.3924</v>
      </c>
      <c r="AK21">
        <f>'ASPEN Ex steam'!W10</f>
        <v>-341468.232</v>
      </c>
      <c r="AL21">
        <f>'ASPEN Ex steam'!X10</f>
        <v>38105.1319</v>
      </c>
      <c r="AP21">
        <f t="shared" si="9"/>
        <v>667704.5519999983</v>
      </c>
      <c r="AQ21">
        <f t="shared" si="10"/>
        <v>0</v>
      </c>
      <c r="AR21">
        <f t="shared" si="11"/>
        <v>116075051.5976</v>
      </c>
      <c r="AS21">
        <f t="shared" si="12"/>
        <v>15803156.244200002</v>
      </c>
      <c r="AU21">
        <f t="shared" si="13"/>
        <v>0.6677045519999982</v>
      </c>
      <c r="AV21">
        <f t="shared" si="14"/>
        <v>0</v>
      </c>
      <c r="AW21">
        <f t="shared" si="15"/>
        <v>116.0750515976</v>
      </c>
      <c r="AX21">
        <f t="shared" si="16"/>
        <v>15.803156244200002</v>
      </c>
      <c r="BB21">
        <f t="shared" si="17"/>
        <v>11.39</v>
      </c>
      <c r="BC21">
        <f t="shared" si="18"/>
        <v>0.8336999996289032</v>
      </c>
      <c r="BD21">
        <f t="shared" si="19"/>
        <v>0.5688000000673021</v>
      </c>
      <c r="BE21">
        <f t="shared" si="20"/>
        <v>4458.1845</v>
      </c>
      <c r="BF21">
        <f t="shared" si="21"/>
        <v>0</v>
      </c>
      <c r="BG21">
        <f t="shared" si="22"/>
        <v>0.037473387372644565</v>
      </c>
      <c r="BH21">
        <f t="shared" si="23"/>
        <v>0</v>
      </c>
      <c r="BI21">
        <f t="shared" si="24"/>
        <v>101.62537294450372</v>
      </c>
      <c r="BJ21">
        <f t="shared" si="25"/>
        <v>114.20224948778834</v>
      </c>
      <c r="BK21">
        <f t="shared" si="26"/>
        <v>0.004002126324241351</v>
      </c>
      <c r="BL21">
        <f t="shared" si="27"/>
        <v>84.87170922104005</v>
      </c>
      <c r="BN21">
        <f t="shared" si="28"/>
        <v>11.39</v>
      </c>
      <c r="BO21">
        <f t="shared" si="29"/>
        <v>1.4024999996962053</v>
      </c>
      <c r="BP21">
        <f t="shared" si="30"/>
        <v>4458.1845</v>
      </c>
      <c r="BQ21">
        <f t="shared" si="31"/>
        <v>300.740807167029</v>
      </c>
      <c r="BS21" s="15">
        <f t="shared" si="32"/>
        <v>0</v>
      </c>
      <c r="BT21" s="15">
        <f t="shared" si="1"/>
        <v>-0.3277360270831736</v>
      </c>
      <c r="BU21" s="15">
        <f t="shared" si="1"/>
        <v>-0.18622064341020414</v>
      </c>
      <c r="BV21" s="15"/>
      <c r="BW21" s="15"/>
      <c r="BX21" s="15">
        <f t="shared" si="1"/>
        <v>-0.15382930655509555</v>
      </c>
      <c r="BY21" s="15"/>
      <c r="BZ21" s="15">
        <f t="shared" si="1"/>
        <v>-0.36283925711780923</v>
      </c>
      <c r="CA21" s="15">
        <f t="shared" si="1"/>
        <v>-0.3649507338962762</v>
      </c>
      <c r="CB21" s="15">
        <f t="shared" si="1"/>
        <v>-0.001718654934008137</v>
      </c>
      <c r="CC21" s="15">
        <f t="shared" si="1"/>
        <v>-0.23291075490596144</v>
      </c>
      <c r="CE21" s="15">
        <f t="shared" si="33"/>
        <v>0</v>
      </c>
      <c r="CF21" s="15">
        <f t="shared" si="34"/>
        <v>-0.5139566704933778</v>
      </c>
      <c r="CG21" s="15">
        <f t="shared" si="35"/>
        <v>0</v>
      </c>
      <c r="CH21" s="15">
        <f t="shared" si="36"/>
        <v>-1.1162487074091505</v>
      </c>
      <c r="CJ21">
        <f t="shared" si="37"/>
        <v>0.0083144</v>
      </c>
      <c r="CK21">
        <v>298.15</v>
      </c>
      <c r="CM21">
        <f t="shared" si="38"/>
        <v>11.39</v>
      </c>
      <c r="CN21">
        <f t="shared" si="39"/>
        <v>0.12843309383229107</v>
      </c>
      <c r="CO21">
        <f t="shared" si="40"/>
        <v>4458.1845</v>
      </c>
      <c r="CP21">
        <f t="shared" si="41"/>
        <v>297.97369542693207</v>
      </c>
      <c r="CT21">
        <f t="shared" si="42"/>
        <v>12.057704551999999</v>
      </c>
      <c r="CU21">
        <f t="shared" si="43"/>
        <v>0.12843309383229107</v>
      </c>
      <c r="CV21">
        <f t="shared" si="44"/>
        <v>4574.2595515976</v>
      </c>
      <c r="CW21">
        <f t="shared" si="45"/>
        <v>313.7768516711321</v>
      </c>
      <c r="CY21">
        <f t="shared" si="46"/>
        <v>228.9020741676036</v>
      </c>
      <c r="CZ21" s="5">
        <f t="shared" si="47"/>
        <v>0.0001236581220911882</v>
      </c>
      <c r="DA21" s="5">
        <f t="shared" si="48"/>
        <v>9.469331915062981E-08</v>
      </c>
      <c r="DB21">
        <f t="shared" si="49"/>
        <v>53807.20149665563</v>
      </c>
      <c r="DD21">
        <f>'Ch-exr of biomass'!$E$34</f>
        <v>63893.67098902874</v>
      </c>
      <c r="DF21" s="30">
        <v>0.17689655172413796</v>
      </c>
      <c r="DH21" s="13">
        <f t="shared" si="50"/>
        <v>0.8391304157422858</v>
      </c>
      <c r="DI21" s="13">
        <f t="shared" si="51"/>
        <v>0.04240522259561824</v>
      </c>
      <c r="DJ21" s="13">
        <f t="shared" si="52"/>
        <v>0.7970257415399515</v>
      </c>
    </row>
    <row r="22" spans="6:114" ht="15">
      <c r="F22" s="12">
        <f t="shared" si="2"/>
        <v>1</v>
      </c>
      <c r="G22" s="12">
        <f t="shared" si="3"/>
        <v>0.2099999999065247</v>
      </c>
      <c r="H22" s="12">
        <f t="shared" si="4"/>
        <v>0.7900000000934753</v>
      </c>
      <c r="I22" s="14">
        <v>0</v>
      </c>
      <c r="J22" s="14">
        <f>J8/($J$8+$K$8+$L$8+$M$8+$N$8+$O$8+$P$8)</f>
        <v>0</v>
      </c>
      <c r="K22" s="14">
        <f aca="true" t="shared" si="55" ref="K22:P22">K8/($J$8+$K$8+$L$8+$M$8+$N$8+$O$8+$P$8)</f>
        <v>0.047395129771097534</v>
      </c>
      <c r="L22" s="14">
        <f t="shared" si="55"/>
        <v>0</v>
      </c>
      <c r="M22" s="14">
        <f t="shared" si="55"/>
        <v>0.4813341878643036</v>
      </c>
      <c r="N22" s="14">
        <f t="shared" si="55"/>
        <v>0.4003144229520295</v>
      </c>
      <c r="O22" s="14">
        <f t="shared" si="55"/>
        <v>0.0059059485755903</v>
      </c>
      <c r="P22" s="14">
        <f t="shared" si="55"/>
        <v>0.06505031083697915</v>
      </c>
      <c r="Q22" s="15"/>
      <c r="R22">
        <f>'ASPEN Ex steam'!Y11</f>
        <v>-281599973</v>
      </c>
      <c r="S22">
        <f>'ASPEN Ex steam'!O11</f>
        <v>-12532.7912</v>
      </c>
      <c r="T22">
        <f>'ASPEN Ex steam'!P11</f>
        <v>0</v>
      </c>
      <c r="U22">
        <f>'ASPEN Ex steam'!Q11</f>
        <v>-27097958.1</v>
      </c>
      <c r="W22">
        <f>'ASPEN Ex steam'!AA11</f>
        <v>-287753612</v>
      </c>
      <c r="X22">
        <f t="shared" si="7"/>
        <v>-12532.7912</v>
      </c>
      <c r="Y22" s="5">
        <f>'ASPEN Ex steam'!R11</f>
        <v>0</v>
      </c>
      <c r="Z22">
        <f>'ASPEN Ex steam'!S11</f>
        <v>-51425751.2</v>
      </c>
      <c r="AB22">
        <v>298</v>
      </c>
      <c r="AD22">
        <f>'ASPEN Ex steam'!Z11</f>
        <v>-149605.666</v>
      </c>
      <c r="AE22">
        <f>'ASPEN Ex steam'!T11</f>
        <v>4233.3924</v>
      </c>
      <c r="AF22">
        <f>'ASPEN Ex steam'!U11</f>
        <v>0</v>
      </c>
      <c r="AG22">
        <f>'ASPEN Ex steam'!V11</f>
        <v>79271.5812</v>
      </c>
      <c r="AI22">
        <v>-168014.842</v>
      </c>
      <c r="AJ22">
        <f t="shared" si="8"/>
        <v>4233.3924</v>
      </c>
      <c r="AK22">
        <f>'ASPEN Ex steam'!W11</f>
        <v>0</v>
      </c>
      <c r="AL22">
        <f>'ASPEN Ex steam'!X11</f>
        <v>39394.4233</v>
      </c>
      <c r="AP22">
        <f t="shared" si="9"/>
        <v>667704.5519999983</v>
      </c>
      <c r="AQ22">
        <f t="shared" si="10"/>
        <v>0</v>
      </c>
      <c r="AR22">
        <f t="shared" si="11"/>
        <v>0</v>
      </c>
      <c r="AS22">
        <f t="shared" si="12"/>
        <v>12444400.045800002</v>
      </c>
      <c r="AU22">
        <f t="shared" si="13"/>
        <v>0.6677045519999982</v>
      </c>
      <c r="AV22">
        <f t="shared" si="14"/>
        <v>0</v>
      </c>
      <c r="AW22">
        <f t="shared" si="15"/>
        <v>0</v>
      </c>
      <c r="AX22">
        <f t="shared" si="16"/>
        <v>12.444400045800002</v>
      </c>
      <c r="BB22">
        <f t="shared" si="17"/>
        <v>11.39</v>
      </c>
      <c r="BC22">
        <f t="shared" si="18"/>
        <v>0.8336999996289032</v>
      </c>
      <c r="BD22">
        <f t="shared" si="19"/>
        <v>0.5688000000673021</v>
      </c>
      <c r="BE22">
        <f t="shared" si="20"/>
        <v>0</v>
      </c>
      <c r="BF22">
        <f t="shared" si="21"/>
        <v>0</v>
      </c>
      <c r="BG22">
        <f t="shared" si="22"/>
        <v>0.03412449343519022</v>
      </c>
      <c r="BH22">
        <f t="shared" si="23"/>
        <v>0</v>
      </c>
      <c r="BI22">
        <f t="shared" si="24"/>
        <v>113.64300175476208</v>
      </c>
      <c r="BJ22">
        <f t="shared" si="25"/>
        <v>110.09046945603764</v>
      </c>
      <c r="BK22">
        <f t="shared" si="26"/>
        <v>0.11699684128244382</v>
      </c>
      <c r="BL22">
        <f t="shared" si="27"/>
        <v>54.09909100757371</v>
      </c>
      <c r="BN22">
        <f t="shared" si="28"/>
        <v>11.39</v>
      </c>
      <c r="BO22">
        <f t="shared" si="29"/>
        <v>1.4024999996962053</v>
      </c>
      <c r="BP22">
        <f t="shared" si="30"/>
        <v>0</v>
      </c>
      <c r="BQ22">
        <f t="shared" si="31"/>
        <v>277.98368355309105</v>
      </c>
      <c r="BS22" s="15">
        <f t="shared" si="32"/>
        <v>0</v>
      </c>
      <c r="BT22" s="15">
        <f t="shared" si="1"/>
        <v>-0.3277360270831736</v>
      </c>
      <c r="BU22" s="15">
        <f t="shared" si="1"/>
        <v>-0.18622064341020414</v>
      </c>
      <c r="BV22" s="15"/>
      <c r="BW22" s="15"/>
      <c r="BX22" s="15">
        <f t="shared" si="1"/>
        <v>-0.1445189265861076</v>
      </c>
      <c r="BY22" s="15"/>
      <c r="BZ22" s="15">
        <f t="shared" si="1"/>
        <v>-0.35194841642964086</v>
      </c>
      <c r="CA22" s="15">
        <f t="shared" si="1"/>
        <v>-0.3664898490895916</v>
      </c>
      <c r="CB22" s="15">
        <f t="shared" si="1"/>
        <v>-0.03030811856846493</v>
      </c>
      <c r="CC22" s="15">
        <f t="shared" si="1"/>
        <v>-0.17775610832035627</v>
      </c>
      <c r="CE22" s="15">
        <f t="shared" si="33"/>
        <v>0</v>
      </c>
      <c r="CF22" s="15">
        <f t="shared" si="34"/>
        <v>-0.5139566704933778</v>
      </c>
      <c r="CG22" s="15">
        <f t="shared" si="35"/>
        <v>0</v>
      </c>
      <c r="CH22" s="15">
        <f t="shared" si="36"/>
        <v>-1.0710214189941611</v>
      </c>
      <c r="CJ22">
        <f t="shared" si="37"/>
        <v>0.0083144</v>
      </c>
      <c r="CK22">
        <v>298.15</v>
      </c>
      <c r="CM22">
        <f t="shared" si="38"/>
        <v>11.39</v>
      </c>
      <c r="CN22">
        <f t="shared" si="39"/>
        <v>0.12843309383229107</v>
      </c>
      <c r="CO22">
        <f t="shared" si="40"/>
        <v>0</v>
      </c>
      <c r="CP22">
        <f t="shared" si="41"/>
        <v>275.3286874731648</v>
      </c>
      <c r="CT22">
        <f t="shared" si="42"/>
        <v>12.057704551999999</v>
      </c>
      <c r="CU22">
        <f t="shared" si="43"/>
        <v>0.12843309383229107</v>
      </c>
      <c r="CV22">
        <f t="shared" si="44"/>
        <v>0</v>
      </c>
      <c r="CW22">
        <f t="shared" si="45"/>
        <v>287.7730875189648</v>
      </c>
      <c r="CY22">
        <f t="shared" si="46"/>
        <v>305.2027655568048</v>
      </c>
      <c r="CZ22" s="5">
        <f t="shared" si="47"/>
        <v>0.0001236581220911882</v>
      </c>
      <c r="DA22" s="5">
        <f t="shared" si="48"/>
        <v>0</v>
      </c>
      <c r="DB22">
        <f t="shared" si="49"/>
        <v>54190.906966591174</v>
      </c>
      <c r="DD22">
        <f>'Ch-exr of biomass'!$E$34</f>
        <v>63893.67098902874</v>
      </c>
      <c r="DF22" s="30">
        <v>0.23586206896551723</v>
      </c>
      <c r="DH22" s="13">
        <f t="shared" si="50"/>
        <v>0.8441099304851812</v>
      </c>
      <c r="DI22" s="13">
        <f t="shared" si="51"/>
        <v>0.036667179428114954</v>
      </c>
      <c r="DJ22" s="13">
        <f t="shared" si="52"/>
        <v>0.8078200794369452</v>
      </c>
    </row>
    <row r="23" spans="6:114" ht="15">
      <c r="F23" s="12">
        <f t="shared" si="2"/>
        <v>1</v>
      </c>
      <c r="G23" s="12">
        <f t="shared" si="3"/>
        <v>0.2099999999065247</v>
      </c>
      <c r="H23" s="12">
        <f t="shared" si="4"/>
        <v>0.7900000000934753</v>
      </c>
      <c r="I23" s="14">
        <v>0</v>
      </c>
      <c r="J23" s="14">
        <f>J9/($J$9+$K$9+$L$9+$M$9+$N$9+$O$9+$P$9)</f>
        <v>0</v>
      </c>
      <c r="K23" s="14">
        <f aca="true" t="shared" si="56" ref="K23:P23">K9/($J$9+$K$9+$L$9+$M$9+$N$9+$O$9+$P$9)</f>
        <v>0.045000001719320934</v>
      </c>
      <c r="L23" s="14">
        <f t="shared" si="56"/>
        <v>0</v>
      </c>
      <c r="M23" s="14">
        <f t="shared" si="56"/>
        <v>0.5075451309819069</v>
      </c>
      <c r="N23" s="14">
        <f t="shared" si="56"/>
        <v>0.3668086013654911</v>
      </c>
      <c r="O23" s="14">
        <f t="shared" si="56"/>
        <v>0.028198172814424022</v>
      </c>
      <c r="P23" s="14">
        <f t="shared" si="56"/>
        <v>0.05244809311885704</v>
      </c>
      <c r="Q23" s="15"/>
      <c r="R23">
        <f>'ASPEN Ex steam'!Y12</f>
        <v>-281599973</v>
      </c>
      <c r="S23">
        <f>'ASPEN Ex steam'!O12</f>
        <v>-12532.7912</v>
      </c>
      <c r="T23">
        <f>'ASPEN Ex steam'!P12</f>
        <v>0</v>
      </c>
      <c r="U23">
        <f>'ASPEN Ex steam'!Q12</f>
        <v>-32881067</v>
      </c>
      <c r="W23">
        <f>'ASPEN Ex steam'!AA12</f>
        <v>-287753612</v>
      </c>
      <c r="X23">
        <f t="shared" si="7"/>
        <v>-12532.7912</v>
      </c>
      <c r="Y23" s="5">
        <f>'ASPEN Ex steam'!R12</f>
        <v>0</v>
      </c>
      <c r="Z23">
        <f>'ASPEN Ex steam'!S12</f>
        <v>-55555504.5</v>
      </c>
      <c r="AB23">
        <v>298</v>
      </c>
      <c r="AD23">
        <f>'ASPEN Ex steam'!Z12</f>
        <v>-149605.666</v>
      </c>
      <c r="AE23">
        <f>'ASPEN Ex steam'!T12</f>
        <v>4233.3924</v>
      </c>
      <c r="AF23">
        <f>'ASPEN Ex steam'!U12</f>
        <v>0</v>
      </c>
      <c r="AG23">
        <f>'ASPEN Ex steam'!V12</f>
        <v>76103.0254</v>
      </c>
      <c r="AI23">
        <v>-168014.842</v>
      </c>
      <c r="AJ23">
        <f t="shared" si="8"/>
        <v>4233.3924</v>
      </c>
      <c r="AK23">
        <f>'ASPEN Ex steam'!W12</f>
        <v>0</v>
      </c>
      <c r="AL23">
        <f>'ASPEN Ex steam'!X12</f>
        <v>37780.8365</v>
      </c>
      <c r="AP23">
        <f t="shared" si="9"/>
        <v>667704.5519999983</v>
      </c>
      <c r="AQ23">
        <f t="shared" si="10"/>
        <v>0</v>
      </c>
      <c r="AR23">
        <f t="shared" si="11"/>
        <v>0</v>
      </c>
      <c r="AS23">
        <f t="shared" si="12"/>
        <v>11254425.207799999</v>
      </c>
      <c r="AU23">
        <f t="shared" si="13"/>
        <v>0.6677045519999982</v>
      </c>
      <c r="AV23">
        <f t="shared" si="14"/>
        <v>0</v>
      </c>
      <c r="AW23">
        <f t="shared" si="15"/>
        <v>0</v>
      </c>
      <c r="AX23">
        <f t="shared" si="16"/>
        <v>11.254425207799999</v>
      </c>
      <c r="BB23">
        <f t="shared" si="17"/>
        <v>11.39</v>
      </c>
      <c r="BC23">
        <f t="shared" si="18"/>
        <v>0.8336999996289032</v>
      </c>
      <c r="BD23">
        <f t="shared" si="19"/>
        <v>0.5688000000673021</v>
      </c>
      <c r="BE23">
        <f t="shared" si="20"/>
        <v>0</v>
      </c>
      <c r="BF23">
        <f t="shared" si="21"/>
        <v>0</v>
      </c>
      <c r="BG23">
        <f t="shared" si="22"/>
        <v>0.03240000123791107</v>
      </c>
      <c r="BH23">
        <f t="shared" si="23"/>
        <v>0</v>
      </c>
      <c r="BI23">
        <f t="shared" si="24"/>
        <v>119.83140542482822</v>
      </c>
      <c r="BJ23">
        <f t="shared" si="25"/>
        <v>100.8760334615237</v>
      </c>
      <c r="BK23">
        <f t="shared" si="26"/>
        <v>0.5586058034537399</v>
      </c>
      <c r="BL23">
        <f t="shared" si="27"/>
        <v>43.61845664229746</v>
      </c>
      <c r="BN23">
        <f t="shared" si="28"/>
        <v>11.39</v>
      </c>
      <c r="BO23">
        <f t="shared" si="29"/>
        <v>1.4024999996962053</v>
      </c>
      <c r="BP23">
        <f t="shared" si="30"/>
        <v>0</v>
      </c>
      <c r="BQ23">
        <f t="shared" si="31"/>
        <v>264.916901333341</v>
      </c>
      <c r="BS23" s="15">
        <f t="shared" si="32"/>
        <v>0</v>
      </c>
      <c r="BT23" s="15">
        <f t="shared" si="1"/>
        <v>-0.3277360270831736</v>
      </c>
      <c r="BU23" s="15">
        <f t="shared" si="1"/>
        <v>-0.18622064341020414</v>
      </c>
      <c r="BV23" s="15"/>
      <c r="BW23" s="15"/>
      <c r="BX23" s="15">
        <f t="shared" si="1"/>
        <v>-0.13954917912698456</v>
      </c>
      <c r="BY23" s="15"/>
      <c r="BZ23" s="15">
        <f t="shared" si="1"/>
        <v>-0.344201700780205</v>
      </c>
      <c r="CA23" s="15">
        <f t="shared" si="1"/>
        <v>-0.36787788113301206</v>
      </c>
      <c r="CB23" s="15">
        <f t="shared" si="1"/>
        <v>-0.10062512602579658</v>
      </c>
      <c r="CC23" s="15">
        <f t="shared" si="1"/>
        <v>-0.15461337538133282</v>
      </c>
      <c r="CE23" s="15">
        <f t="shared" si="33"/>
        <v>0</v>
      </c>
      <c r="CF23" s="15">
        <f t="shared" si="34"/>
        <v>-0.5139566704933778</v>
      </c>
      <c r="CG23" s="15">
        <f t="shared" si="35"/>
        <v>0</v>
      </c>
      <c r="CH23" s="15">
        <f t="shared" si="36"/>
        <v>-1.106867262447331</v>
      </c>
      <c r="CJ23">
        <f t="shared" si="37"/>
        <v>0.0083144</v>
      </c>
      <c r="CK23">
        <v>298.15</v>
      </c>
      <c r="CM23">
        <f t="shared" si="38"/>
        <v>11.39</v>
      </c>
      <c r="CN23">
        <f t="shared" si="39"/>
        <v>0.12843309383229107</v>
      </c>
      <c r="CO23">
        <f t="shared" si="40"/>
        <v>0</v>
      </c>
      <c r="CP23">
        <f t="shared" si="41"/>
        <v>262.17304561703213</v>
      </c>
      <c r="CT23">
        <f t="shared" si="42"/>
        <v>12.057704551999999</v>
      </c>
      <c r="CU23">
        <f t="shared" si="43"/>
        <v>0.12843309383229107</v>
      </c>
      <c r="CV23">
        <f t="shared" si="44"/>
        <v>0</v>
      </c>
      <c r="CW23">
        <f t="shared" si="45"/>
        <v>273.42747082483214</v>
      </c>
      <c r="CY23">
        <f t="shared" si="46"/>
        <v>381.50345694600594</v>
      </c>
      <c r="CZ23" s="5">
        <f t="shared" si="47"/>
        <v>0.0001236581220911882</v>
      </c>
      <c r="DA23" s="5">
        <f t="shared" si="48"/>
        <v>0</v>
      </c>
      <c r="DB23">
        <f t="shared" si="49"/>
        <v>54229.99631769931</v>
      </c>
      <c r="DD23">
        <f>'Ch-exr of biomass'!$E$34</f>
        <v>63893.67098902874</v>
      </c>
      <c r="DF23" s="30">
        <v>0.29482758620689653</v>
      </c>
      <c r="DH23" s="13">
        <f t="shared" si="50"/>
        <v>0.8437160487047599</v>
      </c>
      <c r="DI23" s="13">
        <f t="shared" si="51"/>
        <v>0.03492362650059669</v>
      </c>
      <c r="DJ23" s="13">
        <f t="shared" si="52"/>
        <v>0.8092542183918283</v>
      </c>
    </row>
    <row r="24" spans="6:114" ht="15">
      <c r="F24" s="12">
        <f t="shared" si="2"/>
        <v>1</v>
      </c>
      <c r="G24" s="12">
        <f t="shared" si="3"/>
        <v>0.2099999999065247</v>
      </c>
      <c r="H24" s="12">
        <f t="shared" si="4"/>
        <v>0.7900000000934753</v>
      </c>
      <c r="I24" s="14">
        <v>0</v>
      </c>
      <c r="J24" s="14">
        <f>J10/($J$10+$K$10+$L$10+$M$10+$N$10+$O$10+$P$10)</f>
        <v>0</v>
      </c>
      <c r="K24" s="14">
        <f aca="true" t="shared" si="57" ref="K24:P24">K10/($J$10+$K$10+$L$10+$M$10+$N$10+$O$10+$P$10)</f>
        <v>0.04338131260230712</v>
      </c>
      <c r="L24" s="14">
        <f t="shared" si="57"/>
        <v>0</v>
      </c>
      <c r="M24" s="14">
        <f t="shared" si="57"/>
        <v>0.5252591599698326</v>
      </c>
      <c r="N24" s="14">
        <f t="shared" si="57"/>
        <v>0.3280692615692866</v>
      </c>
      <c r="O24" s="14">
        <f t="shared" si="57"/>
        <v>0.05533526399435378</v>
      </c>
      <c r="P24" s="14">
        <f t="shared" si="57"/>
        <v>0.047955001864219755</v>
      </c>
      <c r="Q24" s="15"/>
      <c r="R24">
        <f>'ASPEN Ex steam'!Y13</f>
        <v>-281599973</v>
      </c>
      <c r="S24">
        <f>'ASPEN Ex steam'!O13</f>
        <v>-12532.7912</v>
      </c>
      <c r="T24">
        <f>'ASPEN Ex steam'!P13</f>
        <v>0</v>
      </c>
      <c r="U24">
        <f>'ASPEN Ex steam'!Q13</f>
        <v>-39530605.9</v>
      </c>
      <c r="W24">
        <f>'ASPEN Ex steam'!AA13</f>
        <v>-287753612</v>
      </c>
      <c r="X24">
        <f t="shared" si="7"/>
        <v>-12532.7912</v>
      </c>
      <c r="Y24" s="5">
        <f>'ASPEN Ex steam'!R13</f>
        <v>0</v>
      </c>
      <c r="Z24">
        <f>'ASPEN Ex steam'!S13</f>
        <v>-61617816.3</v>
      </c>
      <c r="AB24">
        <v>298</v>
      </c>
      <c r="AD24">
        <f>'ASPEN Ex steam'!Z13</f>
        <v>-149605.666</v>
      </c>
      <c r="AE24">
        <f>'ASPEN Ex steam'!T13</f>
        <v>4233.3924</v>
      </c>
      <c r="AF24">
        <f>'ASPEN Ex steam'!U13</f>
        <v>0</v>
      </c>
      <c r="AG24">
        <f>'ASPEN Ex steam'!V13</f>
        <v>72965.1613</v>
      </c>
      <c r="AI24">
        <v>-168014.842</v>
      </c>
      <c r="AJ24">
        <f t="shared" si="8"/>
        <v>4233.3924</v>
      </c>
      <c r="AK24">
        <f>'ASPEN Ex steam'!W13</f>
        <v>0</v>
      </c>
      <c r="AL24">
        <f>'ASPEN Ex steam'!X13</f>
        <v>35085.3567</v>
      </c>
      <c r="AP24">
        <f t="shared" si="9"/>
        <v>667704.5519999983</v>
      </c>
      <c r="AQ24">
        <f t="shared" si="10"/>
        <v>0</v>
      </c>
      <c r="AR24">
        <f t="shared" si="11"/>
        <v>0</v>
      </c>
      <c r="AS24">
        <f t="shared" si="12"/>
        <v>10799028.629199995</v>
      </c>
      <c r="AU24">
        <f t="shared" si="13"/>
        <v>0.6677045519999982</v>
      </c>
      <c r="AV24">
        <f t="shared" si="14"/>
        <v>0</v>
      </c>
      <c r="AW24">
        <f t="shared" si="15"/>
        <v>0</v>
      </c>
      <c r="AX24">
        <f t="shared" si="16"/>
        <v>10.799028629199995</v>
      </c>
      <c r="BB24">
        <f t="shared" si="17"/>
        <v>11.39</v>
      </c>
      <c r="BC24">
        <f t="shared" si="18"/>
        <v>0.8336999996289032</v>
      </c>
      <c r="BD24">
        <f t="shared" si="19"/>
        <v>0.5688000000673021</v>
      </c>
      <c r="BE24">
        <f t="shared" si="20"/>
        <v>0</v>
      </c>
      <c r="BF24">
        <f t="shared" si="21"/>
        <v>0</v>
      </c>
      <c r="BG24">
        <f t="shared" si="22"/>
        <v>0.031234545073661125</v>
      </c>
      <c r="BH24">
        <f t="shared" si="23"/>
        <v>0</v>
      </c>
      <c r="BI24">
        <f t="shared" si="24"/>
        <v>124.01368766887748</v>
      </c>
      <c r="BJ24">
        <f t="shared" si="25"/>
        <v>90.22232762416951</v>
      </c>
      <c r="BK24">
        <f t="shared" si="26"/>
        <v>1.0961915797281483</v>
      </c>
      <c r="BL24">
        <f t="shared" si="27"/>
        <v>39.88177730037836</v>
      </c>
      <c r="BN24">
        <f t="shared" si="28"/>
        <v>11.39</v>
      </c>
      <c r="BO24">
        <f t="shared" si="29"/>
        <v>1.4024999996962053</v>
      </c>
      <c r="BP24">
        <f t="shared" si="30"/>
        <v>0</v>
      </c>
      <c r="BQ24">
        <f t="shared" si="31"/>
        <v>255.24521871822716</v>
      </c>
      <c r="BS24" s="15">
        <f t="shared" si="32"/>
        <v>0</v>
      </c>
      <c r="BT24" s="15">
        <f t="shared" si="1"/>
        <v>-0.3277360270831736</v>
      </c>
      <c r="BU24" s="15">
        <f t="shared" si="1"/>
        <v>-0.18622064341020414</v>
      </c>
      <c r="BV24" s="15"/>
      <c r="BW24" s="15"/>
      <c r="BX24" s="15">
        <f t="shared" si="1"/>
        <v>-0.136118694842663</v>
      </c>
      <c r="BY24" s="15"/>
      <c r="BZ24" s="15">
        <f t="shared" si="1"/>
        <v>-0.3381952012250293</v>
      </c>
      <c r="CA24" s="15">
        <f t="shared" si="1"/>
        <v>-0.36564320783207316</v>
      </c>
      <c r="CB24" s="15">
        <f t="shared" si="1"/>
        <v>-0.1601593384924347</v>
      </c>
      <c r="CC24" s="15">
        <f t="shared" si="1"/>
        <v>-0.14566294262348878</v>
      </c>
      <c r="CE24" s="15">
        <f t="shared" si="33"/>
        <v>0</v>
      </c>
      <c r="CF24" s="15">
        <f t="shared" si="34"/>
        <v>-0.5139566704933778</v>
      </c>
      <c r="CG24" s="15">
        <f t="shared" si="35"/>
        <v>0</v>
      </c>
      <c r="CH24" s="15">
        <f t="shared" si="36"/>
        <v>-1.1457793850156888</v>
      </c>
      <c r="CJ24">
        <f t="shared" si="37"/>
        <v>0.0083144</v>
      </c>
      <c r="CK24">
        <v>298.15</v>
      </c>
      <c r="CM24">
        <f t="shared" si="38"/>
        <v>11.39</v>
      </c>
      <c r="CN24">
        <f t="shared" si="39"/>
        <v>0.12843309383229107</v>
      </c>
      <c r="CO24">
        <f t="shared" si="40"/>
        <v>0</v>
      </c>
      <c r="CP24">
        <f t="shared" si="41"/>
        <v>252.40490224861458</v>
      </c>
      <c r="CT24">
        <f t="shared" si="42"/>
        <v>12.057704551999999</v>
      </c>
      <c r="CU24">
        <f t="shared" si="43"/>
        <v>0.12843309383229107</v>
      </c>
      <c r="CV24">
        <f t="shared" si="44"/>
        <v>0</v>
      </c>
      <c r="CW24">
        <f t="shared" si="45"/>
        <v>263.20393087781457</v>
      </c>
      <c r="CY24">
        <f t="shared" si="46"/>
        <v>457.8041483352072</v>
      </c>
      <c r="CZ24" s="5">
        <f t="shared" si="47"/>
        <v>0.0001236581220911882</v>
      </c>
      <c r="DA24" s="5">
        <f t="shared" si="48"/>
        <v>0</v>
      </c>
      <c r="DB24">
        <f t="shared" si="49"/>
        <v>54150.1473335258</v>
      </c>
      <c r="DD24">
        <f>'Ch-exr of biomass'!$E$34</f>
        <v>63893.67098902874</v>
      </c>
      <c r="DF24" s="30">
        <v>0.3537931034482759</v>
      </c>
      <c r="DH24" s="13">
        <f t="shared" si="50"/>
        <v>0.8414748397590311</v>
      </c>
      <c r="DI24" s="13">
        <f t="shared" si="51"/>
        <v>0.034758565212661664</v>
      </c>
      <c r="DJ24" s="13">
        <f t="shared" si="52"/>
        <v>0.8072678811458456</v>
      </c>
    </row>
    <row r="25" spans="6:114" ht="15">
      <c r="F25" s="12">
        <f t="shared" si="2"/>
        <v>1</v>
      </c>
      <c r="G25" s="12">
        <f t="shared" si="3"/>
        <v>0.2099999999065247</v>
      </c>
      <c r="H25" s="12">
        <f t="shared" si="4"/>
        <v>0.7900000000934753</v>
      </c>
      <c r="I25" s="14">
        <v>0</v>
      </c>
      <c r="J25" s="14">
        <f>J11/($J$11+$K$11+$L$11+$M$11+$N$11+$O$11+$P$11)</f>
        <v>0</v>
      </c>
      <c r="K25" s="14">
        <f aca="true" t="shared" si="58" ref="K25:P25">K11/($J$11+$K$11+$L$11+$M$11+$N$11+$O$11+$P$11)</f>
        <v>0.042012424704368216</v>
      </c>
      <c r="L25" s="14">
        <f t="shared" si="58"/>
        <v>0</v>
      </c>
      <c r="M25" s="14">
        <f t="shared" si="58"/>
        <v>0.5402395036526899</v>
      </c>
      <c r="N25" s="14">
        <f t="shared" si="58"/>
        <v>0.28969722297471234</v>
      </c>
      <c r="O25" s="14">
        <f t="shared" si="58"/>
        <v>0.08249278069498416</v>
      </c>
      <c r="P25" s="14">
        <f t="shared" si="58"/>
        <v>0.04555806797324541</v>
      </c>
      <c r="Q25" s="15"/>
      <c r="R25">
        <f>'ASPEN Ex steam'!Y14</f>
        <v>-281599973</v>
      </c>
      <c r="S25">
        <f>'ASPEN Ex steam'!O14</f>
        <v>-12532.7912</v>
      </c>
      <c r="T25">
        <f>'ASPEN Ex steam'!P14</f>
        <v>0</v>
      </c>
      <c r="U25">
        <f>'ASPEN Ex steam'!Q14</f>
        <v>-46118694.4</v>
      </c>
      <c r="W25">
        <f>'ASPEN Ex steam'!AA14</f>
        <v>-287753612</v>
      </c>
      <c r="X25">
        <f t="shared" si="7"/>
        <v>-12532.7912</v>
      </c>
      <c r="Y25" s="5">
        <f>'ASPEN Ex steam'!R14</f>
        <v>0</v>
      </c>
      <c r="Z25">
        <f>'ASPEN Ex steam'!S14</f>
        <v>-67885017.2</v>
      </c>
      <c r="AB25">
        <v>298</v>
      </c>
      <c r="AD25">
        <f>'ASPEN Ex steam'!Z14</f>
        <v>-149605.666</v>
      </c>
      <c r="AE25">
        <f>'ASPEN Ex steam'!T14</f>
        <v>4233.3924</v>
      </c>
      <c r="AF25">
        <f>'ASPEN Ex steam'!U14</f>
        <v>0</v>
      </c>
      <c r="AG25">
        <f>'ASPEN Ex steam'!V14</f>
        <v>69852.6957</v>
      </c>
      <c r="AI25">
        <v>-168014.842</v>
      </c>
      <c r="AJ25">
        <f t="shared" si="8"/>
        <v>4233.3924</v>
      </c>
      <c r="AK25">
        <f>'ASPEN Ex steam'!W14</f>
        <v>0</v>
      </c>
      <c r="AL25">
        <f>'ASPEN Ex steam'!X14</f>
        <v>32142.0994</v>
      </c>
      <c r="AP25">
        <f t="shared" si="9"/>
        <v>667704.5519999983</v>
      </c>
      <c r="AQ25">
        <f t="shared" si="10"/>
        <v>0</v>
      </c>
      <c r="AR25">
        <f t="shared" si="11"/>
        <v>0</v>
      </c>
      <c r="AS25">
        <f t="shared" si="12"/>
        <v>10528565.102600005</v>
      </c>
      <c r="AU25">
        <f t="shared" si="13"/>
        <v>0.6677045519999982</v>
      </c>
      <c r="AV25">
        <f t="shared" si="14"/>
        <v>0</v>
      </c>
      <c r="AW25">
        <f t="shared" si="15"/>
        <v>0</v>
      </c>
      <c r="AX25">
        <f t="shared" si="16"/>
        <v>10.528565102600005</v>
      </c>
      <c r="BB25">
        <f t="shared" si="17"/>
        <v>11.39</v>
      </c>
      <c r="BC25">
        <f t="shared" si="18"/>
        <v>0.8336999996289032</v>
      </c>
      <c r="BD25">
        <f t="shared" si="19"/>
        <v>0.5688000000673021</v>
      </c>
      <c r="BE25">
        <f t="shared" si="20"/>
        <v>0</v>
      </c>
      <c r="BF25">
        <f t="shared" si="21"/>
        <v>0</v>
      </c>
      <c r="BG25">
        <f t="shared" si="22"/>
        <v>0.030248945787145116</v>
      </c>
      <c r="BH25">
        <f t="shared" si="23"/>
        <v>0</v>
      </c>
      <c r="BI25">
        <f t="shared" si="24"/>
        <v>127.55054681240009</v>
      </c>
      <c r="BJ25">
        <f t="shared" si="25"/>
        <v>79.66963329027564</v>
      </c>
      <c r="BK25">
        <f t="shared" si="26"/>
        <v>1.634181985567636</v>
      </c>
      <c r="BL25">
        <f t="shared" si="27"/>
        <v>37.888367229949544</v>
      </c>
      <c r="BN25">
        <f t="shared" si="28"/>
        <v>11.39</v>
      </c>
      <c r="BO25">
        <f t="shared" si="29"/>
        <v>1.4024999996962053</v>
      </c>
      <c r="BP25">
        <f t="shared" si="30"/>
        <v>0</v>
      </c>
      <c r="BQ25">
        <f t="shared" si="31"/>
        <v>246.77297826398006</v>
      </c>
      <c r="BS25" s="15">
        <f t="shared" si="32"/>
        <v>0</v>
      </c>
      <c r="BT25" s="15">
        <f t="shared" si="1"/>
        <v>-0.3277360270831736</v>
      </c>
      <c r="BU25" s="15">
        <f t="shared" si="1"/>
        <v>-0.18622064341020414</v>
      </c>
      <c r="BV25" s="15"/>
      <c r="BW25" s="15"/>
      <c r="BX25" s="15">
        <f t="shared" si="1"/>
        <v>-0.13317055858454024</v>
      </c>
      <c r="BY25" s="15"/>
      <c r="BZ25" s="15">
        <f t="shared" si="1"/>
        <v>-0.3326485373621881</v>
      </c>
      <c r="CA25" s="15">
        <f t="shared" si="1"/>
        <v>-0.35891138223703556</v>
      </c>
      <c r="CB25" s="15">
        <f t="shared" si="1"/>
        <v>-0.2058231584490809</v>
      </c>
      <c r="CC25" s="15">
        <f t="shared" si="1"/>
        <v>-0.140718281882948</v>
      </c>
      <c r="CE25" s="15">
        <f t="shared" si="33"/>
        <v>0</v>
      </c>
      <c r="CF25" s="15">
        <f t="shared" si="34"/>
        <v>-0.5139566704933778</v>
      </c>
      <c r="CG25" s="15">
        <f t="shared" si="35"/>
        <v>0</v>
      </c>
      <c r="CH25" s="15">
        <f t="shared" si="36"/>
        <v>-1.1712719185157927</v>
      </c>
      <c r="CJ25">
        <f t="shared" si="37"/>
        <v>0.0083144</v>
      </c>
      <c r="CK25">
        <v>298.15</v>
      </c>
      <c r="CM25">
        <f t="shared" si="38"/>
        <v>11.39</v>
      </c>
      <c r="CN25">
        <f t="shared" si="39"/>
        <v>0.12843309383229107</v>
      </c>
      <c r="CO25">
        <f t="shared" si="40"/>
        <v>0</v>
      </c>
      <c r="CP25">
        <f t="shared" si="41"/>
        <v>243.86946737518048</v>
      </c>
      <c r="CT25">
        <f t="shared" si="42"/>
        <v>12.057704551999999</v>
      </c>
      <c r="CU25">
        <f t="shared" si="43"/>
        <v>0.12843309383229107</v>
      </c>
      <c r="CV25">
        <f t="shared" si="44"/>
        <v>0</v>
      </c>
      <c r="CW25">
        <f t="shared" si="45"/>
        <v>254.39803247778048</v>
      </c>
      <c r="CY25">
        <f t="shared" si="46"/>
        <v>534.1048397244084</v>
      </c>
      <c r="CZ25" s="5">
        <f t="shared" si="47"/>
        <v>0.0001236581220911882</v>
      </c>
      <c r="DA25" s="5">
        <f t="shared" si="48"/>
        <v>0</v>
      </c>
      <c r="DB25">
        <f t="shared" si="49"/>
        <v>54043.810317426265</v>
      </c>
      <c r="DD25">
        <f>'Ch-exr of biomass'!$E$34</f>
        <v>63893.67098902874</v>
      </c>
      <c r="DF25" s="30">
        <v>0.4127586206896552</v>
      </c>
      <c r="DH25" s="13">
        <f t="shared" si="50"/>
        <v>0.8388278117398468</v>
      </c>
      <c r="DI25" s="13">
        <f t="shared" si="51"/>
        <v>0.03498988940252117</v>
      </c>
      <c r="DJ25" s="13">
        <f t="shared" si="52"/>
        <v>0.8044812334556574</v>
      </c>
    </row>
    <row r="26" spans="6:114" ht="15">
      <c r="F26" s="12">
        <f t="shared" si="2"/>
        <v>1</v>
      </c>
      <c r="G26" s="12">
        <f t="shared" si="3"/>
        <v>0.2099999999065247</v>
      </c>
      <c r="H26" s="12">
        <f t="shared" si="4"/>
        <v>0.7900000000934753</v>
      </c>
      <c r="I26" s="14">
        <v>0</v>
      </c>
      <c r="J26" s="14">
        <f>J12/($J$12+$K$12+$L$12+$M$12+$N$12+$O$12+$P$12)</f>
        <v>0</v>
      </c>
      <c r="K26" s="14">
        <f aca="true" t="shared" si="59" ref="K26:P26">K12/($J$12+$K$12+$L$12+$M$12+$N$12+$O$12+$P$12)</f>
        <v>0.040774533278822814</v>
      </c>
      <c r="L26" s="14">
        <f t="shared" si="59"/>
        <v>0</v>
      </c>
      <c r="M26" s="14">
        <f t="shared" si="59"/>
        <v>0.5537862961834564</v>
      </c>
      <c r="N26" s="14">
        <f t="shared" si="59"/>
        <v>0.2528069088322669</v>
      </c>
      <c r="O26" s="14">
        <f t="shared" si="59"/>
        <v>0.10869417477709777</v>
      </c>
      <c r="P26" s="14">
        <f t="shared" si="59"/>
        <v>0.043938086928356</v>
      </c>
      <c r="Q26" s="15"/>
      <c r="R26">
        <f>'ASPEN Ex steam'!Y15</f>
        <v>-281599973</v>
      </c>
      <c r="S26">
        <f>'ASPEN Ex steam'!O15</f>
        <v>-12532.7912</v>
      </c>
      <c r="T26">
        <f>'ASPEN Ex steam'!P15</f>
        <v>0</v>
      </c>
      <c r="U26">
        <f>'ASPEN Ex steam'!Q15</f>
        <v>-52462731.6</v>
      </c>
      <c r="W26">
        <f>'ASPEN Ex steam'!AA15</f>
        <v>-287753612</v>
      </c>
      <c r="X26">
        <f t="shared" si="7"/>
        <v>-12532.7912</v>
      </c>
      <c r="Y26" s="5">
        <f>'ASPEN Ex steam'!R15</f>
        <v>0</v>
      </c>
      <c r="Z26">
        <f>'ASPEN Ex steam'!S15</f>
        <v>-73997657.8</v>
      </c>
      <c r="AB26">
        <v>298</v>
      </c>
      <c r="AD26">
        <f>'ASPEN Ex steam'!Z15</f>
        <v>-149605.666</v>
      </c>
      <c r="AE26">
        <f>'ASPEN Ex steam'!T15</f>
        <v>4233.3924</v>
      </c>
      <c r="AF26">
        <f>'ASPEN Ex steam'!U15</f>
        <v>0</v>
      </c>
      <c r="AG26">
        <f>'ASPEN Ex steam'!V15</f>
        <v>66784.0506</v>
      </c>
      <c r="AI26">
        <v>-168014.842</v>
      </c>
      <c r="AJ26">
        <f t="shared" si="8"/>
        <v>4233.3924</v>
      </c>
      <c r="AK26">
        <f>'ASPEN Ex steam'!W15</f>
        <v>0</v>
      </c>
      <c r="AL26">
        <f>'ASPEN Ex steam'!X15</f>
        <v>29158.8125</v>
      </c>
      <c r="AP26">
        <f t="shared" si="9"/>
        <v>667704.5519999983</v>
      </c>
      <c r="AQ26">
        <f t="shared" si="10"/>
        <v>0</v>
      </c>
      <c r="AR26">
        <f t="shared" si="11"/>
        <v>0</v>
      </c>
      <c r="AS26">
        <f t="shared" si="12"/>
        <v>10322605.246199995</v>
      </c>
      <c r="AU26">
        <f t="shared" si="13"/>
        <v>0.6677045519999982</v>
      </c>
      <c r="AV26">
        <f t="shared" si="14"/>
        <v>0</v>
      </c>
      <c r="AW26">
        <f t="shared" si="15"/>
        <v>0</v>
      </c>
      <c r="AX26">
        <f t="shared" si="16"/>
        <v>10.322605246199995</v>
      </c>
      <c r="BB26">
        <f t="shared" si="17"/>
        <v>11.39</v>
      </c>
      <c r="BC26">
        <f t="shared" si="18"/>
        <v>0.8336999996289032</v>
      </c>
      <c r="BD26">
        <f t="shared" si="19"/>
        <v>0.5688000000673021</v>
      </c>
      <c r="BE26">
        <f t="shared" si="20"/>
        <v>0</v>
      </c>
      <c r="BF26">
        <f t="shared" si="21"/>
        <v>0</v>
      </c>
      <c r="BG26">
        <f t="shared" si="22"/>
        <v>0.029357663960752425</v>
      </c>
      <c r="BH26">
        <f t="shared" si="23"/>
        <v>0</v>
      </c>
      <c r="BI26">
        <f t="shared" si="24"/>
        <v>130.74894452891405</v>
      </c>
      <c r="BJ26">
        <f t="shared" si="25"/>
        <v>69.52442799796172</v>
      </c>
      <c r="BK26">
        <f t="shared" si="26"/>
        <v>2.1532316023343068</v>
      </c>
      <c r="BL26">
        <f t="shared" si="27"/>
        <v>36.54110999396726</v>
      </c>
      <c r="BN26">
        <f t="shared" si="28"/>
        <v>11.39</v>
      </c>
      <c r="BO26">
        <f t="shared" si="29"/>
        <v>1.4024999996962053</v>
      </c>
      <c r="BP26">
        <f t="shared" si="30"/>
        <v>0</v>
      </c>
      <c r="BQ26">
        <f t="shared" si="31"/>
        <v>238.9970717871381</v>
      </c>
      <c r="BS26" s="15">
        <f t="shared" si="32"/>
        <v>0</v>
      </c>
      <c r="BT26" s="15">
        <f t="shared" si="1"/>
        <v>-0.3277360270831736</v>
      </c>
      <c r="BU26" s="15">
        <f t="shared" si="1"/>
        <v>-0.18622064341020414</v>
      </c>
      <c r="BV26" s="15"/>
      <c r="BW26" s="15"/>
      <c r="BX26" s="15">
        <f t="shared" si="1"/>
        <v>-0.13046617532734917</v>
      </c>
      <c r="BY26" s="15"/>
      <c r="BZ26" s="15">
        <f t="shared" si="1"/>
        <v>-0.3272746392279771</v>
      </c>
      <c r="CA26" s="15">
        <f t="shared" si="1"/>
        <v>-0.34764218450387807</v>
      </c>
      <c r="CB26" s="15">
        <f t="shared" si="1"/>
        <v>-0.2412159687485927</v>
      </c>
      <c r="CC26" s="15">
        <f t="shared" si="1"/>
        <v>-0.13730536833102744</v>
      </c>
      <c r="CE26" s="15">
        <f t="shared" si="33"/>
        <v>0</v>
      </c>
      <c r="CF26" s="15">
        <f t="shared" si="34"/>
        <v>-0.5139566704933778</v>
      </c>
      <c r="CG26" s="15">
        <f t="shared" si="35"/>
        <v>0</v>
      </c>
      <c r="CH26" s="15">
        <f t="shared" si="36"/>
        <v>-1.1839043361388244</v>
      </c>
      <c r="CJ26">
        <f t="shared" si="37"/>
        <v>0.0083144</v>
      </c>
      <c r="CK26">
        <v>298.15</v>
      </c>
      <c r="CM26">
        <f t="shared" si="38"/>
        <v>11.39</v>
      </c>
      <c r="CN26">
        <f t="shared" si="39"/>
        <v>0.12843309383229107</v>
      </c>
      <c r="CO26">
        <f t="shared" si="40"/>
        <v>0</v>
      </c>
      <c r="CP26">
        <f t="shared" si="41"/>
        <v>236.06224591371324</v>
      </c>
      <c r="CT26">
        <f t="shared" si="42"/>
        <v>12.057704551999999</v>
      </c>
      <c r="CU26">
        <f t="shared" si="43"/>
        <v>0.12843309383229107</v>
      </c>
      <c r="CV26">
        <f t="shared" si="44"/>
        <v>0</v>
      </c>
      <c r="CW26">
        <f t="shared" si="45"/>
        <v>246.38485115991324</v>
      </c>
      <c r="CY26">
        <f t="shared" si="46"/>
        <v>610.4055311136096</v>
      </c>
      <c r="CZ26" s="5">
        <f t="shared" si="47"/>
        <v>0.0001236581220911882</v>
      </c>
      <c r="DA26" s="5">
        <f t="shared" si="48"/>
        <v>0</v>
      </c>
      <c r="DB26">
        <f t="shared" si="49"/>
        <v>53930.564150150945</v>
      </c>
      <c r="DD26">
        <f>'Ch-exr of biomass'!$E$34</f>
        <v>63893.67098902874</v>
      </c>
      <c r="DF26" s="30">
        <v>0.47172413793103446</v>
      </c>
      <c r="DH26" s="13">
        <f t="shared" si="50"/>
        <v>0.8360799341096257</v>
      </c>
      <c r="DI26" s="13">
        <f t="shared" si="51"/>
        <v>0.03534457352364968</v>
      </c>
      <c r="DJ26" s="13">
        <f t="shared" si="52"/>
        <v>0.8014712968676515</v>
      </c>
    </row>
    <row r="27" spans="6:114" ht="15">
      <c r="F27" s="12">
        <f t="shared" si="2"/>
        <v>1</v>
      </c>
      <c r="G27" s="12">
        <f t="shared" si="3"/>
        <v>0.2099999999065247</v>
      </c>
      <c r="H27" s="12">
        <f t="shared" si="4"/>
        <v>0.7900000000934753</v>
      </c>
      <c r="I27" s="14">
        <v>0</v>
      </c>
      <c r="J27" s="14">
        <f>J13/($J$13+$K$13+$L$13+$M$13+$N$13+$O$13+$P$13)</f>
        <v>0</v>
      </c>
      <c r="K27" s="14">
        <f aca="true" t="shared" si="60" ref="K27:P27">K13/($J$13+$K$13+$L$13+$M$13+$N$13+$O$13+$P$13)</f>
        <v>0.03962376147044098</v>
      </c>
      <c r="L27" s="14">
        <f t="shared" si="60"/>
        <v>0</v>
      </c>
      <c r="M27" s="14">
        <f t="shared" si="60"/>
        <v>0.5663796991249777</v>
      </c>
      <c r="N27" s="14">
        <f t="shared" si="60"/>
        <v>0.21770731738331606</v>
      </c>
      <c r="O27" s="14">
        <f t="shared" si="60"/>
        <v>0.13365572632967426</v>
      </c>
      <c r="P27" s="14">
        <f t="shared" si="60"/>
        <v>0.04263349569159111</v>
      </c>
      <c r="Q27" s="15"/>
      <c r="R27">
        <f>'ASPEN Ex steam'!Y16</f>
        <v>-281599973</v>
      </c>
      <c r="S27">
        <f>'ASPEN Ex steam'!O16</f>
        <v>-12532.7912</v>
      </c>
      <c r="T27">
        <f>'ASPEN Ex steam'!P16</f>
        <v>0</v>
      </c>
      <c r="U27">
        <f>'ASPEN Ex steam'!Q16</f>
        <v>-58512852.8</v>
      </c>
      <c r="W27">
        <f>'ASPEN Ex steam'!AA16</f>
        <v>-287753612</v>
      </c>
      <c r="X27">
        <f t="shared" si="7"/>
        <v>-12532.7912</v>
      </c>
      <c r="Y27" s="5">
        <f>'ASPEN Ex steam'!R16</f>
        <v>0</v>
      </c>
      <c r="Z27">
        <f>'ASPEN Ex steam'!S16</f>
        <v>-79843835.1</v>
      </c>
      <c r="AB27">
        <v>298</v>
      </c>
      <c r="AD27">
        <f>'ASPEN Ex steam'!Z16</f>
        <v>-149605.666</v>
      </c>
      <c r="AE27">
        <f>'ASPEN Ex steam'!T16</f>
        <v>4233.3924</v>
      </c>
      <c r="AF27">
        <f>'ASPEN Ex steam'!U16</f>
        <v>0</v>
      </c>
      <c r="AG27">
        <f>'ASPEN Ex steam'!V16</f>
        <v>63769.7294</v>
      </c>
      <c r="AI27">
        <v>-168014.842</v>
      </c>
      <c r="AJ27">
        <f t="shared" si="8"/>
        <v>4233.3924</v>
      </c>
      <c r="AK27">
        <f>'ASPEN Ex steam'!W16</f>
        <v>0</v>
      </c>
      <c r="AL27">
        <f>'ASPEN Ex steam'!X16</f>
        <v>26213.0906</v>
      </c>
      <c r="AP27">
        <f t="shared" si="9"/>
        <v>667704.5519999983</v>
      </c>
      <c r="AQ27">
        <f t="shared" si="10"/>
        <v>0</v>
      </c>
      <c r="AR27">
        <f t="shared" si="11"/>
        <v>0</v>
      </c>
      <c r="AS27">
        <f t="shared" si="12"/>
        <v>10139103.937599996</v>
      </c>
      <c r="AU27">
        <f t="shared" si="13"/>
        <v>0.6677045519999982</v>
      </c>
      <c r="AV27">
        <f t="shared" si="14"/>
        <v>0</v>
      </c>
      <c r="AW27">
        <f t="shared" si="15"/>
        <v>0</v>
      </c>
      <c r="AX27">
        <f t="shared" si="16"/>
        <v>10.139103937599996</v>
      </c>
      <c r="BB27">
        <f t="shared" si="17"/>
        <v>11.39</v>
      </c>
      <c r="BC27">
        <f t="shared" si="18"/>
        <v>0.8336999996289032</v>
      </c>
      <c r="BD27">
        <f t="shared" si="19"/>
        <v>0.5688000000673021</v>
      </c>
      <c r="BE27">
        <f t="shared" si="20"/>
        <v>0</v>
      </c>
      <c r="BF27">
        <f t="shared" si="21"/>
        <v>0</v>
      </c>
      <c r="BG27">
        <f t="shared" si="22"/>
        <v>0.028529108258717503</v>
      </c>
      <c r="BH27">
        <f t="shared" si="23"/>
        <v>0</v>
      </c>
      <c r="BI27">
        <f t="shared" si="24"/>
        <v>133.72224696340723</v>
      </c>
      <c r="BJ27">
        <f t="shared" si="25"/>
        <v>59.871689353585744</v>
      </c>
      <c r="BK27">
        <f t="shared" si="26"/>
        <v>2.6477199385908468</v>
      </c>
      <c r="BL27">
        <f t="shared" si="27"/>
        <v>35.45614669191175</v>
      </c>
      <c r="BN27">
        <f t="shared" si="28"/>
        <v>11.39</v>
      </c>
      <c r="BO27">
        <f t="shared" si="29"/>
        <v>1.4024999996962053</v>
      </c>
      <c r="BP27">
        <f t="shared" si="30"/>
        <v>0</v>
      </c>
      <c r="BQ27">
        <f t="shared" si="31"/>
        <v>231.72633205575428</v>
      </c>
      <c r="BS27" s="15">
        <f t="shared" si="32"/>
        <v>0</v>
      </c>
      <c r="BT27" s="15">
        <f t="shared" si="1"/>
        <v>-0.3277360270831736</v>
      </c>
      <c r="BU27" s="15">
        <f t="shared" si="1"/>
        <v>-0.18622064341020414</v>
      </c>
      <c r="BV27" s="15"/>
      <c r="BW27" s="15"/>
      <c r="BX27" s="15">
        <f t="shared" si="1"/>
        <v>-0.12791843140020567</v>
      </c>
      <c r="BY27" s="15"/>
      <c r="BZ27" s="15">
        <f t="shared" si="1"/>
        <v>-0.32198152319437096</v>
      </c>
      <c r="CA27" s="15">
        <f t="shared" si="1"/>
        <v>-0.33191738139778315</v>
      </c>
      <c r="CB27" s="15">
        <f t="shared" si="1"/>
        <v>-0.268980544247189</v>
      </c>
      <c r="CC27" s="15">
        <f t="shared" si="1"/>
        <v>-0.1345135839258578</v>
      </c>
      <c r="CE27" s="15">
        <f t="shared" si="33"/>
        <v>0</v>
      </c>
      <c r="CF27" s="15">
        <f t="shared" si="34"/>
        <v>-0.5139566704933778</v>
      </c>
      <c r="CG27" s="15">
        <f t="shared" si="35"/>
        <v>0</v>
      </c>
      <c r="CH27" s="15">
        <f t="shared" si="36"/>
        <v>-1.1853114641654066</v>
      </c>
      <c r="CJ27">
        <f t="shared" si="37"/>
        <v>0.0083144</v>
      </c>
      <c r="CK27">
        <v>298.15</v>
      </c>
      <c r="CM27">
        <f t="shared" si="38"/>
        <v>11.39</v>
      </c>
      <c r="CN27">
        <f t="shared" si="39"/>
        <v>0.12843309383229107</v>
      </c>
      <c r="CO27">
        <f t="shared" si="40"/>
        <v>0</v>
      </c>
      <c r="CP27">
        <f t="shared" si="41"/>
        <v>228.78801799868688</v>
      </c>
      <c r="CT27">
        <f t="shared" si="42"/>
        <v>12.057704551999999</v>
      </c>
      <c r="CU27">
        <f t="shared" si="43"/>
        <v>0.12843309383229107</v>
      </c>
      <c r="CV27">
        <f t="shared" si="44"/>
        <v>0</v>
      </c>
      <c r="CW27">
        <f t="shared" si="45"/>
        <v>238.92712193628688</v>
      </c>
      <c r="CY27">
        <f t="shared" si="46"/>
        <v>686.7062225028108</v>
      </c>
      <c r="CZ27" s="5">
        <f t="shared" si="47"/>
        <v>0.0001236581220911882</v>
      </c>
      <c r="DA27" s="5">
        <f t="shared" si="48"/>
        <v>0</v>
      </c>
      <c r="DB27">
        <f t="shared" si="49"/>
        <v>53817.02807325113</v>
      </c>
      <c r="DD27">
        <f>'Ch-exr of biomass'!$E$34</f>
        <v>63893.67098902874</v>
      </c>
      <c r="DF27" s="30">
        <v>0.5306896551724138</v>
      </c>
      <c r="DH27" s="13">
        <f t="shared" si="50"/>
        <v>0.8333340604983795</v>
      </c>
      <c r="DI27" s="13">
        <f t="shared" si="51"/>
        <v>0.035722150524192926</v>
      </c>
      <c r="DJ27" s="13">
        <f t="shared" si="52"/>
        <v>0.7984408682735502</v>
      </c>
    </row>
    <row r="28" spans="6:114" ht="15">
      <c r="F28" s="12">
        <f t="shared" si="2"/>
        <v>1</v>
      </c>
      <c r="G28" s="12">
        <f t="shared" si="3"/>
        <v>0.2099999999065247</v>
      </c>
      <c r="H28" s="12">
        <f t="shared" si="4"/>
        <v>0.7900000000934753</v>
      </c>
      <c r="I28" s="14">
        <v>0</v>
      </c>
      <c r="J28" s="14">
        <f>J14/($J$14+$K$14+$L$14+$M$14+$N$14+$O$14+$P$14)</f>
        <v>0</v>
      </c>
      <c r="K28" s="14">
        <f aca="true" t="shared" si="61" ref="K28:P28">K14/($J$14+$K$14+$L$14+$M$14+$N$14+$O$14+$P$14)</f>
        <v>0.03853773008938458</v>
      </c>
      <c r="L28" s="14">
        <f t="shared" si="61"/>
        <v>0</v>
      </c>
      <c r="M28" s="14">
        <f t="shared" si="61"/>
        <v>0.5782646199940641</v>
      </c>
      <c r="N28" s="14">
        <f t="shared" si="61"/>
        <v>0.1845013914105417</v>
      </c>
      <c r="O28" s="14">
        <f t="shared" si="61"/>
        <v>0.15727371475584845</v>
      </c>
      <c r="P28" s="14">
        <f t="shared" si="61"/>
        <v>0.04142254375016121</v>
      </c>
      <c r="Q28" s="15"/>
      <c r="R28">
        <f>'ASPEN Ex steam'!Y17</f>
        <v>-281599973</v>
      </c>
      <c r="S28">
        <f>'ASPEN Ex steam'!O17</f>
        <v>-12532.7912</v>
      </c>
      <c r="T28">
        <f>'ASPEN Ex steam'!P17</f>
        <v>0</v>
      </c>
      <c r="U28">
        <f>'ASPEN Ex steam'!Q17</f>
        <v>-64253380.1</v>
      </c>
      <c r="W28">
        <f>'ASPEN Ex steam'!AA17</f>
        <v>-287753612</v>
      </c>
      <c r="X28">
        <f t="shared" si="7"/>
        <v>-12532.7912</v>
      </c>
      <c r="Y28" s="5">
        <f>'ASPEN Ex steam'!R17</f>
        <v>0</v>
      </c>
      <c r="Z28">
        <f>'ASPEN Ex steam'!S17</f>
        <v>-85377581.7</v>
      </c>
      <c r="AB28">
        <v>298</v>
      </c>
      <c r="AD28">
        <f>'ASPEN Ex steam'!Z17</f>
        <v>-149605.666</v>
      </c>
      <c r="AE28">
        <f>'ASPEN Ex steam'!T17</f>
        <v>4233.3924</v>
      </c>
      <c r="AF28">
        <f>'ASPEN Ex steam'!U17</f>
        <v>0</v>
      </c>
      <c r="AG28">
        <f>'ASPEN Ex steam'!V17</f>
        <v>60814.4703</v>
      </c>
      <c r="AI28">
        <v>-168014.842</v>
      </c>
      <c r="AJ28">
        <f t="shared" si="8"/>
        <v>4233.3924</v>
      </c>
      <c r="AK28">
        <f>'ASPEN Ex steam'!W17</f>
        <v>0</v>
      </c>
      <c r="AL28">
        <f>'ASPEN Ex steam'!X17</f>
        <v>23342.9475</v>
      </c>
      <c r="AP28">
        <f t="shared" si="9"/>
        <v>667704.5519999983</v>
      </c>
      <c r="AQ28">
        <f t="shared" si="10"/>
        <v>0</v>
      </c>
      <c r="AR28">
        <f t="shared" si="11"/>
        <v>0</v>
      </c>
      <c r="AS28">
        <f t="shared" si="12"/>
        <v>9957687.8056</v>
      </c>
      <c r="AU28">
        <f t="shared" si="13"/>
        <v>0.6677045519999982</v>
      </c>
      <c r="AV28">
        <f t="shared" si="14"/>
        <v>0</v>
      </c>
      <c r="AW28">
        <f t="shared" si="15"/>
        <v>0</v>
      </c>
      <c r="AX28">
        <f t="shared" si="16"/>
        <v>9.9576878056</v>
      </c>
      <c r="BB28">
        <f t="shared" si="17"/>
        <v>11.39</v>
      </c>
      <c r="BC28">
        <f t="shared" si="18"/>
        <v>0.8336999996289032</v>
      </c>
      <c r="BD28">
        <f t="shared" si="19"/>
        <v>0.5688000000673021</v>
      </c>
      <c r="BE28">
        <f t="shared" si="20"/>
        <v>0</v>
      </c>
      <c r="BF28">
        <f t="shared" si="21"/>
        <v>0</v>
      </c>
      <c r="BG28">
        <f t="shared" si="22"/>
        <v>0.027747165664356897</v>
      </c>
      <c r="BH28">
        <f t="shared" si="23"/>
        <v>0</v>
      </c>
      <c r="BI28">
        <f t="shared" si="24"/>
        <v>136.52827678059853</v>
      </c>
      <c r="BJ28">
        <f t="shared" si="25"/>
        <v>50.73972765181307</v>
      </c>
      <c r="BK28">
        <f t="shared" si="26"/>
        <v>3.1155922893133576</v>
      </c>
      <c r="BL28">
        <f t="shared" si="27"/>
        <v>34.44905850982157</v>
      </c>
      <c r="BN28">
        <f t="shared" si="28"/>
        <v>11.39</v>
      </c>
      <c r="BO28">
        <f t="shared" si="29"/>
        <v>1.4024999996962053</v>
      </c>
      <c r="BP28">
        <f t="shared" si="30"/>
        <v>0</v>
      </c>
      <c r="BQ28">
        <f t="shared" si="31"/>
        <v>224.86040239721086</v>
      </c>
      <c r="BS28" s="15">
        <f t="shared" si="32"/>
        <v>0</v>
      </c>
      <c r="BT28" s="15">
        <f t="shared" si="1"/>
        <v>-0.3277360270831736</v>
      </c>
      <c r="BU28" s="15">
        <f t="shared" si="1"/>
        <v>-0.18622064341020414</v>
      </c>
      <c r="BV28" s="15"/>
      <c r="BW28" s="15"/>
      <c r="BX28" s="15">
        <f t="shared" si="1"/>
        <v>-0.1254833779422338</v>
      </c>
      <c r="BY28" s="15"/>
      <c r="BZ28" s="15">
        <f t="shared" si="1"/>
        <v>-0.31672923436159045</v>
      </c>
      <c r="CA28" s="15">
        <f t="shared" si="1"/>
        <v>-0.31182548317529685</v>
      </c>
      <c r="CB28" s="15">
        <f t="shared" si="1"/>
        <v>-0.2909198196087406</v>
      </c>
      <c r="CC28" s="15">
        <f t="shared" si="1"/>
        <v>-0.1318864801916944</v>
      </c>
      <c r="CE28" s="15">
        <f t="shared" si="33"/>
        <v>0</v>
      </c>
      <c r="CF28" s="15">
        <f t="shared" si="34"/>
        <v>-0.5139566704933778</v>
      </c>
      <c r="CG28" s="15">
        <f t="shared" si="35"/>
        <v>0</v>
      </c>
      <c r="CH28" s="15">
        <f t="shared" si="36"/>
        <v>-1.176844395279556</v>
      </c>
      <c r="CJ28">
        <f t="shared" si="37"/>
        <v>0.0083144</v>
      </c>
      <c r="CK28">
        <v>298.15</v>
      </c>
      <c r="CM28">
        <f t="shared" si="38"/>
        <v>11.39</v>
      </c>
      <c r="CN28">
        <f t="shared" si="39"/>
        <v>0.12843309383229107</v>
      </c>
      <c r="CO28">
        <f t="shared" si="40"/>
        <v>0</v>
      </c>
      <c r="CP28">
        <f t="shared" si="41"/>
        <v>221.94307768200136</v>
      </c>
      <c r="CT28">
        <f t="shared" si="42"/>
        <v>12.057704551999999</v>
      </c>
      <c r="CU28">
        <f t="shared" si="43"/>
        <v>0.12843309383229107</v>
      </c>
      <c r="CV28">
        <f t="shared" si="44"/>
        <v>0</v>
      </c>
      <c r="CW28">
        <f t="shared" si="45"/>
        <v>231.90076548760135</v>
      </c>
      <c r="CY28">
        <f t="shared" si="46"/>
        <v>763.0069138920119</v>
      </c>
      <c r="CZ28" s="5">
        <f t="shared" si="47"/>
        <v>0.0001236581220911882</v>
      </c>
      <c r="DA28" s="5">
        <f t="shared" si="48"/>
        <v>0</v>
      </c>
      <c r="DB28">
        <f t="shared" si="49"/>
        <v>53706.396218916256</v>
      </c>
      <c r="DD28">
        <f>'Ch-exr of biomass'!$E$34</f>
        <v>63893.67098902874</v>
      </c>
      <c r="DF28" s="30">
        <v>0.5896551724137931</v>
      </c>
      <c r="DH28" s="13">
        <f t="shared" si="50"/>
        <v>0.8306395852388023</v>
      </c>
      <c r="DI28" s="13">
        <f t="shared" si="51"/>
        <v>0.03606927356597195</v>
      </c>
      <c r="DJ28" s="13">
        <f t="shared" si="52"/>
        <v>0.7954922321426137</v>
      </c>
    </row>
    <row r="30" spans="98:103" ht="15">
      <c r="CT30" t="s">
        <v>112</v>
      </c>
      <c r="CY30" t="s">
        <v>113</v>
      </c>
    </row>
    <row r="32" spans="98:112" ht="15">
      <c r="CT32" s="19" t="s">
        <v>98</v>
      </c>
      <c r="CU32" s="19" t="s">
        <v>99</v>
      </c>
      <c r="CV32" s="19" t="s">
        <v>100</v>
      </c>
      <c r="CW32" s="19" t="s">
        <v>101</v>
      </c>
      <c r="CY32" s="19" t="s">
        <v>98</v>
      </c>
      <c r="CZ32" s="19" t="s">
        <v>99</v>
      </c>
      <c r="DA32" s="19" t="s">
        <v>100</v>
      </c>
      <c r="DB32" s="19" t="s">
        <v>101</v>
      </c>
      <c r="DE32" t="str">
        <f>DF17</f>
        <v>S/C</v>
      </c>
      <c r="DF32" s="5" t="str">
        <f>DA16</f>
        <v>Liquid</v>
      </c>
      <c r="DG32" t="str">
        <f>DB16</f>
        <v>Gas</v>
      </c>
      <c r="DH32" t="s">
        <v>123</v>
      </c>
    </row>
    <row r="33" spans="98:112" ht="15">
      <c r="CT33">
        <f>AU18*F4*1000</f>
        <v>0</v>
      </c>
      <c r="CU33" s="5">
        <f>AV18*(G4+H4)*1000</f>
        <v>0</v>
      </c>
      <c r="CV33" s="5">
        <f>AW18*I4*1000</f>
        <v>370.3907958513079</v>
      </c>
      <c r="CW33">
        <f>AX18*SUM(J4:P4)*1000</f>
        <v>3168.8539448917386</v>
      </c>
      <c r="CY33">
        <f>CM18*F4*1000</f>
        <v>0</v>
      </c>
      <c r="CZ33" s="5">
        <f>CN18*(G4+H4)*1000</f>
        <v>0.0001236581220911882</v>
      </c>
      <c r="DA33" s="5">
        <f>CO18*I4*1000</f>
        <v>7844.104608870915</v>
      </c>
      <c r="DB33">
        <f>CP18*SUM(J4:P4)*1000</f>
        <v>41816.314521332344</v>
      </c>
      <c r="DE33">
        <f>DF18</f>
        <v>0</v>
      </c>
      <c r="DF33" s="5">
        <f>DA18</f>
        <v>8214.495404722224</v>
      </c>
      <c r="DG33">
        <f>DB18</f>
        <v>44985.16846622408</v>
      </c>
      <c r="DH33">
        <f>DD18</f>
        <v>63893.67098902874</v>
      </c>
    </row>
    <row r="34" spans="98:112" ht="15">
      <c r="CT34">
        <f aca="true" t="shared" si="62" ref="CT34:CT43">AU19*F5*1000</f>
        <v>4.225208765201192</v>
      </c>
      <c r="CU34" s="5">
        <f aca="true" t="shared" si="63" ref="CU34:CU43">AV19*(G5+H5)*1000</f>
        <v>0</v>
      </c>
      <c r="CV34" s="5">
        <f aca="true" t="shared" si="64" ref="CV34:CV43">AW19*I5*1000</f>
        <v>85.01207652965992</v>
      </c>
      <c r="CW34">
        <f aca="true" t="shared" si="65" ref="CW34:CW43">AX19*SUM(J5:P5)*1000</f>
        <v>3337.400838634815</v>
      </c>
      <c r="CY34">
        <f aca="true" t="shared" si="66" ref="CY34:CY43">CM19*F5*1000</f>
        <v>72.075482624</v>
      </c>
      <c r="CZ34" s="5">
        <f aca="true" t="shared" si="67" ref="CZ34:CZ43">CN19*(G5+H5)*1000</f>
        <v>0.0001236581220911882</v>
      </c>
      <c r="DA34" s="5">
        <f aca="true" t="shared" si="68" ref="DA34:DA43">CO19*I5*1000</f>
        <v>1916.958186541398</v>
      </c>
      <c r="DB34">
        <f aca="true" t="shared" si="69" ref="DB34:DB43">CP19*SUM(J5:P5)*1000</f>
        <v>47656.30927833392</v>
      </c>
      <c r="DE34">
        <f aca="true" t="shared" si="70" ref="DE34:DE43">DF19</f>
        <v>0.05896551724137931</v>
      </c>
      <c r="DF34" s="5">
        <f aca="true" t="shared" si="71" ref="DF34:DG34">DA19</f>
        <v>2001.9702630710583</v>
      </c>
      <c r="DG34">
        <f t="shared" si="71"/>
        <v>50993.71011696874</v>
      </c>
      <c r="DH34">
        <f aca="true" t="shared" si="72" ref="DH34:DH43">DD19</f>
        <v>63893.67098902874</v>
      </c>
    </row>
    <row r="35" spans="98:112" ht="15">
      <c r="CT35">
        <f t="shared" si="62"/>
        <v>8.450417530402383</v>
      </c>
      <c r="CU35" s="5">
        <f t="shared" si="63"/>
        <v>0</v>
      </c>
      <c r="CV35" s="5">
        <f t="shared" si="64"/>
        <v>0.0050137001399876225</v>
      </c>
      <c r="CW35">
        <f t="shared" si="65"/>
        <v>3123.2788300557995</v>
      </c>
      <c r="CY35">
        <f t="shared" si="66"/>
        <v>144.150965248</v>
      </c>
      <c r="CZ35" s="5">
        <f t="shared" si="67"/>
        <v>0.0001236581220911882</v>
      </c>
      <c r="DA35" s="5">
        <f t="shared" si="68"/>
        <v>0.12971940965517764</v>
      </c>
      <c r="DB35">
        <f t="shared" si="69"/>
        <v>50168.62879852345</v>
      </c>
      <c r="DE35">
        <f t="shared" si="70"/>
        <v>0.11793103448275861</v>
      </c>
      <c r="DF35" s="5">
        <f aca="true" t="shared" si="73" ref="DF35:DG35">DA20</f>
        <v>0.13473310979516528</v>
      </c>
      <c r="DG35">
        <f t="shared" si="73"/>
        <v>53291.90762857925</v>
      </c>
      <c r="DH35">
        <f t="shared" si="72"/>
        <v>63893.67098902874</v>
      </c>
    </row>
    <row r="36" spans="98:112" ht="15">
      <c r="CT36">
        <f t="shared" si="62"/>
        <v>12.675626295603575</v>
      </c>
      <c r="CU36" s="5">
        <f t="shared" si="63"/>
        <v>0</v>
      </c>
      <c r="CV36" s="5">
        <f t="shared" si="64"/>
        <v>2.4029095381171516E-09</v>
      </c>
      <c r="CW36">
        <f t="shared" si="65"/>
        <v>2709.9628534931603</v>
      </c>
      <c r="CY36">
        <f t="shared" si="66"/>
        <v>216.22644787200002</v>
      </c>
      <c r="CZ36" s="5">
        <f t="shared" si="67"/>
        <v>0.0001236581220911882</v>
      </c>
      <c r="DA36" s="5">
        <f t="shared" si="68"/>
        <v>9.229040961251266E-08</v>
      </c>
      <c r="DB36">
        <f t="shared" si="69"/>
        <v>51097.23864316247</v>
      </c>
      <c r="DE36">
        <f t="shared" si="70"/>
        <v>0.17689655172413796</v>
      </c>
      <c r="DF36" s="5">
        <f aca="true" t="shared" si="74" ref="DF36:DG36">DA21</f>
        <v>9.469331915062981E-08</v>
      </c>
      <c r="DG36">
        <f t="shared" si="74"/>
        <v>53807.20149665563</v>
      </c>
      <c r="DH36">
        <f t="shared" si="72"/>
        <v>63893.67098902874</v>
      </c>
    </row>
    <row r="37" spans="98:112" ht="15">
      <c r="CT37">
        <f t="shared" si="62"/>
        <v>16.900835060804766</v>
      </c>
      <c r="CU37" s="5">
        <f t="shared" si="63"/>
        <v>0</v>
      </c>
      <c r="CV37" s="5">
        <f t="shared" si="64"/>
        <v>0</v>
      </c>
      <c r="CW37">
        <f t="shared" si="65"/>
        <v>2343.420404427319</v>
      </c>
      <c r="CY37">
        <f t="shared" si="66"/>
        <v>288.301930496</v>
      </c>
      <c r="CZ37" s="5">
        <f t="shared" si="67"/>
        <v>0.0001236581220911882</v>
      </c>
      <c r="DA37" s="5">
        <f t="shared" si="68"/>
        <v>0</v>
      </c>
      <c r="DB37">
        <f t="shared" si="69"/>
        <v>51847.48656216385</v>
      </c>
      <c r="DE37">
        <f t="shared" si="70"/>
        <v>0.23586206896551723</v>
      </c>
      <c r="DF37" s="5">
        <f aca="true" t="shared" si="75" ref="DF37:DG37">DA22</f>
        <v>0</v>
      </c>
      <c r="DG37">
        <f t="shared" si="75"/>
        <v>54190.906966591174</v>
      </c>
      <c r="DH37">
        <f t="shared" si="72"/>
        <v>63893.67098902874</v>
      </c>
    </row>
    <row r="38" spans="98:112" ht="15">
      <c r="CT38">
        <f t="shared" si="62"/>
        <v>21.126043826005958</v>
      </c>
      <c r="CU38" s="5">
        <f t="shared" si="63"/>
        <v>0</v>
      </c>
      <c r="CV38" s="5">
        <f t="shared" si="64"/>
        <v>0</v>
      </c>
      <c r="CW38">
        <f t="shared" si="65"/>
        <v>2232.1364994368646</v>
      </c>
      <c r="CY38">
        <f t="shared" si="66"/>
        <v>360.37741311999997</v>
      </c>
      <c r="CZ38" s="5">
        <f t="shared" si="67"/>
        <v>0.0001236581220911882</v>
      </c>
      <c r="DA38" s="5">
        <f t="shared" si="68"/>
        <v>0</v>
      </c>
      <c r="DB38">
        <f t="shared" si="69"/>
        <v>51997.85981826244</v>
      </c>
      <c r="DE38">
        <f t="shared" si="70"/>
        <v>0.29482758620689653</v>
      </c>
      <c r="DF38" s="5">
        <f aca="true" t="shared" si="76" ref="DF38:DG38">DA23</f>
        <v>0</v>
      </c>
      <c r="DG38">
        <f t="shared" si="76"/>
        <v>54229.99631769931</v>
      </c>
      <c r="DH38">
        <f t="shared" si="72"/>
        <v>63893.67098902874</v>
      </c>
    </row>
    <row r="39" spans="98:112" ht="15">
      <c r="CT39">
        <f t="shared" si="62"/>
        <v>25.35125259120715</v>
      </c>
      <c r="CU39" s="5">
        <f t="shared" si="63"/>
        <v>0</v>
      </c>
      <c r="CV39" s="5">
        <f t="shared" si="64"/>
        <v>0</v>
      </c>
      <c r="CW39">
        <f t="shared" si="65"/>
        <v>2221.733502914918</v>
      </c>
      <c r="CY39">
        <f t="shared" si="66"/>
        <v>432.45289574400005</v>
      </c>
      <c r="CZ39" s="5">
        <f t="shared" si="67"/>
        <v>0.0001236581220911882</v>
      </c>
      <c r="DA39" s="5">
        <f t="shared" si="68"/>
        <v>0</v>
      </c>
      <c r="DB39">
        <f t="shared" si="69"/>
        <v>51928.41383061089</v>
      </c>
      <c r="DE39">
        <f t="shared" si="70"/>
        <v>0.3537931034482759</v>
      </c>
      <c r="DF39" s="5">
        <f aca="true" t="shared" si="77" ref="DF39:DG39">DA24</f>
        <v>0</v>
      </c>
      <c r="DG39">
        <f t="shared" si="77"/>
        <v>54150.1473335258</v>
      </c>
      <c r="DH39">
        <f t="shared" si="72"/>
        <v>63893.67098902874</v>
      </c>
    </row>
    <row r="40" spans="98:112" ht="15">
      <c r="CT40">
        <f t="shared" si="62"/>
        <v>29.576461356408345</v>
      </c>
      <c r="CU40" s="5">
        <f t="shared" si="63"/>
        <v>0</v>
      </c>
      <c r="CV40" s="5">
        <f t="shared" si="64"/>
        <v>0</v>
      </c>
      <c r="CW40">
        <f t="shared" si="65"/>
        <v>2236.66735853897</v>
      </c>
      <c r="CY40">
        <f t="shared" si="66"/>
        <v>504.528378368</v>
      </c>
      <c r="CZ40" s="5">
        <f t="shared" si="67"/>
        <v>0.0001236581220911882</v>
      </c>
      <c r="DA40" s="5">
        <f t="shared" si="68"/>
        <v>0</v>
      </c>
      <c r="DB40">
        <f t="shared" si="69"/>
        <v>51807.1429588873</v>
      </c>
      <c r="DE40">
        <f t="shared" si="70"/>
        <v>0.4127586206896552</v>
      </c>
      <c r="DF40" s="5">
        <f aca="true" t="shared" si="78" ref="DF40:DG40">DA25</f>
        <v>0</v>
      </c>
      <c r="DG40">
        <f t="shared" si="78"/>
        <v>54043.810317426265</v>
      </c>
      <c r="DH40">
        <f t="shared" si="72"/>
        <v>63893.67098902874</v>
      </c>
    </row>
    <row r="41" spans="98:112" ht="15">
      <c r="CT41">
        <f t="shared" si="62"/>
        <v>33.80167012160953</v>
      </c>
      <c r="CU41" s="5">
        <f t="shared" si="63"/>
        <v>0</v>
      </c>
      <c r="CV41" s="5">
        <f t="shared" si="64"/>
        <v>0</v>
      </c>
      <c r="CW41">
        <f t="shared" si="65"/>
        <v>2259.4892575824447</v>
      </c>
      <c r="CY41">
        <f t="shared" si="66"/>
        <v>576.603860992</v>
      </c>
      <c r="CZ41" s="5">
        <f t="shared" si="67"/>
        <v>0.0001236581220911882</v>
      </c>
      <c r="DA41" s="5">
        <f t="shared" si="68"/>
        <v>0</v>
      </c>
      <c r="DB41">
        <f t="shared" si="69"/>
        <v>51671.0748925685</v>
      </c>
      <c r="DE41">
        <f t="shared" si="70"/>
        <v>0.47172413793103446</v>
      </c>
      <c r="DF41" s="5">
        <f aca="true" t="shared" si="79" ref="DF41:DG41">DA26</f>
        <v>0</v>
      </c>
      <c r="DG41">
        <f t="shared" si="79"/>
        <v>53930.564150150945</v>
      </c>
      <c r="DH41">
        <f t="shared" si="72"/>
        <v>63893.67098902874</v>
      </c>
    </row>
    <row r="42" spans="98:112" ht="15">
      <c r="CT42">
        <f t="shared" si="62"/>
        <v>38.02687888681073</v>
      </c>
      <c r="CU42" s="5">
        <f t="shared" si="63"/>
        <v>0</v>
      </c>
      <c r="CV42" s="5">
        <f t="shared" si="64"/>
        <v>0</v>
      </c>
      <c r="CW42">
        <f t="shared" si="65"/>
        <v>2283.7777345049035</v>
      </c>
      <c r="CY42">
        <f t="shared" si="66"/>
        <v>648.6793436160001</v>
      </c>
      <c r="CZ42" s="5">
        <f t="shared" si="67"/>
        <v>0.0001236581220911882</v>
      </c>
      <c r="DA42" s="5">
        <f t="shared" si="68"/>
        <v>0</v>
      </c>
      <c r="DB42">
        <f t="shared" si="69"/>
        <v>51533.25033874623</v>
      </c>
      <c r="DE42">
        <f t="shared" si="70"/>
        <v>0.5306896551724138</v>
      </c>
      <c r="DF42" s="5">
        <f aca="true" t="shared" si="80" ref="DF42:DG42">DA27</f>
        <v>0</v>
      </c>
      <c r="DG42">
        <f t="shared" si="80"/>
        <v>53817.02807325113</v>
      </c>
      <c r="DH42">
        <f t="shared" si="72"/>
        <v>63893.67098902874</v>
      </c>
    </row>
    <row r="43" spans="98:112" ht="15">
      <c r="CT43">
        <f t="shared" si="62"/>
        <v>42.252087652011916</v>
      </c>
      <c r="CU43" s="5">
        <f t="shared" si="63"/>
        <v>0</v>
      </c>
      <c r="CV43" s="5">
        <f t="shared" si="64"/>
        <v>0</v>
      </c>
      <c r="CW43">
        <f t="shared" si="65"/>
        <v>2306.122300145737</v>
      </c>
      <c r="CY43">
        <f t="shared" si="66"/>
        <v>720.7548262399999</v>
      </c>
      <c r="CZ43" s="5">
        <f t="shared" si="67"/>
        <v>0.0001236581220911882</v>
      </c>
      <c r="DA43" s="5">
        <f t="shared" si="68"/>
        <v>0</v>
      </c>
      <c r="DB43">
        <f t="shared" si="69"/>
        <v>51400.27391877052</v>
      </c>
      <c r="DE43">
        <f t="shared" si="70"/>
        <v>0.5896551724137931</v>
      </c>
      <c r="DF43" s="5">
        <f aca="true" t="shared" si="81" ref="DF43:DG43">DA28</f>
        <v>0</v>
      </c>
      <c r="DG43">
        <f t="shared" si="81"/>
        <v>53706.396218916256</v>
      </c>
      <c r="DH43">
        <f t="shared" si="72"/>
        <v>63893.67098902874</v>
      </c>
    </row>
    <row r="44" spans="99:100" ht="15">
      <c r="CU44" s="5"/>
      <c r="CV44" s="5"/>
    </row>
    <row r="45" spans="99:100" ht="15">
      <c r="CU45" s="5"/>
      <c r="CV45" s="5"/>
    </row>
  </sheetData>
  <mergeCells count="14">
    <mergeCell ref="BT15:BU15"/>
    <mergeCell ref="BW15:CC15"/>
    <mergeCell ref="AI15:AL15"/>
    <mergeCell ref="AP15:AS15"/>
    <mergeCell ref="AU15:AX15"/>
    <mergeCell ref="AU16:AX16"/>
    <mergeCell ref="BC15:BD15"/>
    <mergeCell ref="I1:P1"/>
    <mergeCell ref="BF15:BL15"/>
    <mergeCell ref="F1:H1"/>
    <mergeCell ref="R15:U15"/>
    <mergeCell ref="W15:Z15"/>
    <mergeCell ref="AD15:AG15"/>
    <mergeCell ref="AP16:AS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 topLeftCell="A1">
      <selection activeCell="W19" sqref="W19"/>
    </sheetView>
  </sheetViews>
  <sheetFormatPr defaultColWidth="9.140625" defaultRowHeight="15"/>
  <sheetData>
    <row r="1" ht="15">
      <c r="A1" t="s">
        <v>52</v>
      </c>
    </row>
    <row r="2" spans="2:28" ht="15">
      <c r="B2" t="s">
        <v>54</v>
      </c>
      <c r="C2" s="29" t="s">
        <v>67</v>
      </c>
      <c r="D2" s="26" t="s">
        <v>68</v>
      </c>
      <c r="E2" s="26" t="s">
        <v>69</v>
      </c>
      <c r="F2" s="9" t="s">
        <v>70</v>
      </c>
      <c r="G2" s="1" t="s">
        <v>71</v>
      </c>
      <c r="H2" s="28" t="s">
        <v>72</v>
      </c>
      <c r="I2" s="28" t="s">
        <v>73</v>
      </c>
      <c r="J2" s="28" t="s">
        <v>74</v>
      </c>
      <c r="K2" s="28" t="s">
        <v>75</v>
      </c>
      <c r="L2" s="28" t="s">
        <v>76</v>
      </c>
      <c r="M2" s="28" t="s">
        <v>77</v>
      </c>
      <c r="N2" s="28" t="s">
        <v>78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55</v>
      </c>
      <c r="U2" t="s">
        <v>86</v>
      </c>
      <c r="V2" t="s">
        <v>87</v>
      </c>
      <c r="W2" t="s">
        <v>88</v>
      </c>
      <c r="X2" t="s">
        <v>89</v>
      </c>
      <c r="Y2" t="s">
        <v>92</v>
      </c>
      <c r="Z2" t="s">
        <v>93</v>
      </c>
      <c r="AA2" t="s">
        <v>94</v>
      </c>
      <c r="AB2" t="s">
        <v>95</v>
      </c>
    </row>
    <row r="3" ht="15">
      <c r="B3" t="s">
        <v>66</v>
      </c>
    </row>
    <row r="4" ht="15">
      <c r="B4" t="s">
        <v>57</v>
      </c>
    </row>
    <row r="5" ht="15">
      <c r="B5" t="s">
        <v>116</v>
      </c>
    </row>
    <row r="6" spans="2:28" ht="15">
      <c r="B6" t="s">
        <v>59</v>
      </c>
      <c r="C6" t="s">
        <v>64</v>
      </c>
      <c r="D6" t="s">
        <v>64</v>
      </c>
      <c r="E6" t="s">
        <v>64</v>
      </c>
      <c r="F6" t="s">
        <v>64</v>
      </c>
      <c r="G6" t="s">
        <v>64</v>
      </c>
      <c r="H6" t="s">
        <v>64</v>
      </c>
      <c r="I6" t="s">
        <v>64</v>
      </c>
      <c r="J6" t="s">
        <v>64</v>
      </c>
      <c r="K6" t="s">
        <v>64</v>
      </c>
      <c r="L6" t="s">
        <v>64</v>
      </c>
      <c r="M6" t="s">
        <v>64</v>
      </c>
      <c r="N6" t="s">
        <v>64</v>
      </c>
      <c r="O6" t="s">
        <v>90</v>
      </c>
      <c r="P6" t="s">
        <v>90</v>
      </c>
      <c r="Q6" t="s">
        <v>90</v>
      </c>
      <c r="R6" t="s">
        <v>90</v>
      </c>
      <c r="S6" t="s">
        <v>90</v>
      </c>
      <c r="T6" t="s">
        <v>91</v>
      </c>
      <c r="U6" t="s">
        <v>91</v>
      </c>
      <c r="V6" t="s">
        <v>91</v>
      </c>
      <c r="W6" t="s">
        <v>91</v>
      </c>
      <c r="X6" t="s">
        <v>91</v>
      </c>
      <c r="Y6" t="s">
        <v>90</v>
      </c>
      <c r="Z6" t="s">
        <v>91</v>
      </c>
      <c r="AA6" t="s">
        <v>90</v>
      </c>
      <c r="AB6" t="s">
        <v>91</v>
      </c>
    </row>
    <row r="7" spans="1:24" ht="15">
      <c r="A7">
        <v>1</v>
      </c>
      <c r="B7">
        <v>0</v>
      </c>
      <c r="C7">
        <v>0</v>
      </c>
      <c r="D7" s="5">
        <v>2.02192479E-07</v>
      </c>
      <c r="E7" s="5">
        <v>7.6062885E-07</v>
      </c>
      <c r="F7">
        <v>0.00175948407</v>
      </c>
      <c r="G7" s="5">
        <v>0.007</v>
      </c>
      <c r="H7">
        <v>0</v>
      </c>
      <c r="I7" s="5">
        <v>0.00804529362</v>
      </c>
      <c r="J7" s="5">
        <v>0</v>
      </c>
      <c r="K7">
        <v>0.0389244731</v>
      </c>
      <c r="L7">
        <v>0.0522958417</v>
      </c>
      <c r="M7" s="5">
        <v>5.0088652E-08</v>
      </c>
      <c r="N7">
        <v>0.0223724215</v>
      </c>
      <c r="O7">
        <v>-12532.7912</v>
      </c>
      <c r="P7">
        <v>451147249</v>
      </c>
      <c r="Q7">
        <v>-18443300.9</v>
      </c>
      <c r="R7" s="5">
        <v>95447533.7</v>
      </c>
      <c r="S7">
        <v>-61236363.6</v>
      </c>
      <c r="T7">
        <v>4233.3924</v>
      </c>
      <c r="U7">
        <v>93584.8236</v>
      </c>
      <c r="V7">
        <v>89841.6031</v>
      </c>
      <c r="W7">
        <v>-393625.545</v>
      </c>
      <c r="X7">
        <v>33661.8488</v>
      </c>
    </row>
    <row r="8" spans="1:28" ht="15">
      <c r="A8">
        <v>2</v>
      </c>
      <c r="B8">
        <v>0.114</v>
      </c>
      <c r="C8">
        <v>0.0063279616</v>
      </c>
      <c r="D8" s="5">
        <v>2.02192479E-07</v>
      </c>
      <c r="E8" s="5">
        <v>7.6062885E-07</v>
      </c>
      <c r="F8">
        <v>0.000429986284</v>
      </c>
      <c r="G8" s="5">
        <v>0.007</v>
      </c>
      <c r="H8">
        <v>0</v>
      </c>
      <c r="I8" s="5">
        <v>0.00871004251</v>
      </c>
      <c r="J8" s="5">
        <v>0</v>
      </c>
      <c r="K8">
        <v>0.0412887974</v>
      </c>
      <c r="L8">
        <v>0.058623795</v>
      </c>
      <c r="M8" s="5">
        <v>1.06102476E-07</v>
      </c>
      <c r="N8">
        <v>0.0266810169</v>
      </c>
      <c r="O8">
        <v>-12532.7912</v>
      </c>
      <c r="P8">
        <v>434886477</v>
      </c>
      <c r="Q8">
        <v>-21476120.5</v>
      </c>
      <c r="R8" s="5">
        <v>95407475</v>
      </c>
      <c r="S8">
        <v>-62595267.2</v>
      </c>
      <c r="T8">
        <v>4233.3924</v>
      </c>
      <c r="U8">
        <v>82134.1573</v>
      </c>
      <c r="V8">
        <v>88125.1878</v>
      </c>
      <c r="W8">
        <v>-393604.742</v>
      </c>
      <c r="X8">
        <v>32913.2451</v>
      </c>
      <c r="Y8">
        <v>-281599973</v>
      </c>
      <c r="Z8">
        <v>-149605.666</v>
      </c>
      <c r="AA8">
        <v>-287753612</v>
      </c>
      <c r="AB8">
        <v>-168014.842</v>
      </c>
    </row>
    <row r="9" spans="1:28" ht="15">
      <c r="A9">
        <v>3</v>
      </c>
      <c r="B9">
        <v>0.228</v>
      </c>
      <c r="C9">
        <v>0.0126559232</v>
      </c>
      <c r="D9" s="5">
        <v>2.02192479E-07</v>
      </c>
      <c r="E9" s="5">
        <v>7.6062885E-07</v>
      </c>
      <c r="F9" s="5">
        <v>2.90969137E-08</v>
      </c>
      <c r="G9" s="5">
        <v>0.007</v>
      </c>
      <c r="H9">
        <v>0</v>
      </c>
      <c r="I9" s="5">
        <v>0.00892502111</v>
      </c>
      <c r="J9" s="5">
        <v>0</v>
      </c>
      <c r="K9" s="5">
        <v>0.0548952993</v>
      </c>
      <c r="L9">
        <v>0.0649498442</v>
      </c>
      <c r="M9" s="5">
        <v>1.12514218E-06</v>
      </c>
      <c r="N9">
        <v>0.0237943604</v>
      </c>
      <c r="O9">
        <v>-12532.7912</v>
      </c>
      <c r="P9">
        <v>396644172</v>
      </c>
      <c r="Q9">
        <v>-23198929.1</v>
      </c>
      <c r="R9" s="5">
        <v>90002073.2</v>
      </c>
      <c r="S9">
        <v>-58688891</v>
      </c>
      <c r="T9">
        <v>4233.3924</v>
      </c>
      <c r="U9">
        <v>59292.8853</v>
      </c>
      <c r="V9">
        <v>85677.6747</v>
      </c>
      <c r="W9">
        <v>-391484.708</v>
      </c>
      <c r="X9">
        <v>35280.8361</v>
      </c>
      <c r="Y9">
        <v>-281599973</v>
      </c>
      <c r="Z9">
        <v>-149605.666</v>
      </c>
      <c r="AA9">
        <v>-287753612</v>
      </c>
      <c r="AB9">
        <v>-168014.842</v>
      </c>
    </row>
    <row r="10" spans="1:28" ht="15">
      <c r="A10">
        <v>4</v>
      </c>
      <c r="B10">
        <v>0.342</v>
      </c>
      <c r="C10">
        <v>0.0189838848</v>
      </c>
      <c r="D10" s="5">
        <v>2.02192479E-07</v>
      </c>
      <c r="E10" s="5">
        <v>7.6062885E-07</v>
      </c>
      <c r="F10" s="5">
        <v>2.07013437E-14</v>
      </c>
      <c r="G10">
        <v>0.007</v>
      </c>
      <c r="H10">
        <v>0</v>
      </c>
      <c r="I10" s="5">
        <v>0.00892503566</v>
      </c>
      <c r="J10" s="5">
        <v>0</v>
      </c>
      <c r="K10" s="5">
        <v>0.0738117784</v>
      </c>
      <c r="L10">
        <v>0.0712107691</v>
      </c>
      <c r="M10" s="5">
        <v>3.46438238E-05</v>
      </c>
      <c r="N10">
        <v>0.0175001536</v>
      </c>
      <c r="O10">
        <v>-12532.7912</v>
      </c>
      <c r="P10">
        <v>92835271.8</v>
      </c>
      <c r="Q10">
        <v>-24534914.5</v>
      </c>
      <c r="R10" s="5">
        <v>-134195824</v>
      </c>
      <c r="S10">
        <v>-53591810.6</v>
      </c>
      <c r="T10">
        <v>4233.3924</v>
      </c>
      <c r="U10">
        <v>30867.4868</v>
      </c>
      <c r="V10">
        <v>82580.769</v>
      </c>
      <c r="W10">
        <v>-341468.232</v>
      </c>
      <c r="X10">
        <v>38105.1319</v>
      </c>
      <c r="Y10">
        <v>-281599973</v>
      </c>
      <c r="Z10">
        <v>-149605.666</v>
      </c>
      <c r="AA10">
        <v>-287753612</v>
      </c>
      <c r="AB10">
        <v>-168014.842</v>
      </c>
    </row>
    <row r="11" spans="1:28" ht="15">
      <c r="A11">
        <v>5</v>
      </c>
      <c r="B11">
        <v>0.456</v>
      </c>
      <c r="C11">
        <v>0.0253118464</v>
      </c>
      <c r="D11" s="5">
        <v>2.02192479E-07</v>
      </c>
      <c r="E11" s="5">
        <v>7.6062885E-07</v>
      </c>
      <c r="F11">
        <v>0</v>
      </c>
      <c r="G11">
        <v>0.007</v>
      </c>
      <c r="H11">
        <v>0</v>
      </c>
      <c r="I11" s="5">
        <v>0.00892503566</v>
      </c>
      <c r="J11" s="5">
        <v>0</v>
      </c>
      <c r="K11">
        <v>0.0906406378</v>
      </c>
      <c r="L11">
        <v>0.0753837054</v>
      </c>
      <c r="M11">
        <v>0.0011121565</v>
      </c>
      <c r="N11">
        <v>0.0122497047</v>
      </c>
      <c r="O11">
        <v>-12532.7912</v>
      </c>
      <c r="Q11">
        <v>-27097958.1</v>
      </c>
      <c r="S11">
        <v>-51425751.2</v>
      </c>
      <c r="T11">
        <v>4233.3924</v>
      </c>
      <c r="V11">
        <v>79271.5812</v>
      </c>
      <c r="X11">
        <v>39394.4233</v>
      </c>
      <c r="Y11">
        <v>-281599973</v>
      </c>
      <c r="Z11">
        <v>-149605.666</v>
      </c>
      <c r="AA11">
        <v>-287753612</v>
      </c>
      <c r="AB11">
        <v>-168014.842</v>
      </c>
    </row>
    <row r="12" spans="1:28" ht="15">
      <c r="A12">
        <v>6</v>
      </c>
      <c r="B12">
        <v>0.57</v>
      </c>
      <c r="C12">
        <v>0.031639808</v>
      </c>
      <c r="D12" s="5">
        <v>2.02192479E-07</v>
      </c>
      <c r="E12" s="5">
        <v>7.6062885E-07</v>
      </c>
      <c r="F12">
        <v>0</v>
      </c>
      <c r="G12">
        <v>0.007</v>
      </c>
      <c r="H12">
        <v>0</v>
      </c>
      <c r="I12" s="5">
        <v>0.00892503566</v>
      </c>
      <c r="J12" s="5">
        <v>0</v>
      </c>
      <c r="K12">
        <v>0.100663516</v>
      </c>
      <c r="L12">
        <v>0.0727506605</v>
      </c>
      <c r="M12">
        <v>0.00559265974</v>
      </c>
      <c r="N12">
        <v>0.0104022463</v>
      </c>
      <c r="O12">
        <v>-12532.7912</v>
      </c>
      <c r="Q12">
        <v>-32881067</v>
      </c>
      <c r="S12">
        <v>-55555504.5</v>
      </c>
      <c r="T12">
        <v>4233.3924</v>
      </c>
      <c r="V12">
        <v>76103.0254</v>
      </c>
      <c r="X12">
        <v>37780.8365</v>
      </c>
      <c r="Y12">
        <v>-281599973</v>
      </c>
      <c r="Z12">
        <v>-149605.666</v>
      </c>
      <c r="AA12">
        <v>-287753612</v>
      </c>
      <c r="AB12">
        <v>-168014.842</v>
      </c>
    </row>
    <row r="13" spans="1:28" ht="15">
      <c r="A13">
        <v>7</v>
      </c>
      <c r="B13">
        <v>0.684</v>
      </c>
      <c r="C13">
        <v>0.0379677696</v>
      </c>
      <c r="D13" s="5">
        <v>2.02192479E-07</v>
      </c>
      <c r="E13" s="5">
        <v>7.6062885E-07</v>
      </c>
      <c r="F13">
        <v>0</v>
      </c>
      <c r="G13">
        <v>0.007</v>
      </c>
      <c r="H13">
        <v>0</v>
      </c>
      <c r="I13" s="5">
        <v>0.00892503566</v>
      </c>
      <c r="J13" s="5">
        <v>0</v>
      </c>
      <c r="K13">
        <v>0.108063967</v>
      </c>
      <c r="L13">
        <v>0.0674951882</v>
      </c>
      <c r="M13">
        <v>0.0113843767</v>
      </c>
      <c r="N13">
        <v>0.00986600165</v>
      </c>
      <c r="O13">
        <v>-12532.7912</v>
      </c>
      <c r="Q13">
        <v>-39530605.9</v>
      </c>
      <c r="S13">
        <v>-61617816.3</v>
      </c>
      <c r="T13">
        <v>4233.3924</v>
      </c>
      <c r="V13">
        <v>72965.1613</v>
      </c>
      <c r="X13">
        <v>35085.3567</v>
      </c>
      <c r="Y13">
        <v>-281599973</v>
      </c>
      <c r="Z13">
        <v>-149605.666</v>
      </c>
      <c r="AA13">
        <v>-287753612</v>
      </c>
      <c r="AB13">
        <v>-168014.842</v>
      </c>
    </row>
    <row r="14" spans="1:28" ht="15">
      <c r="A14">
        <v>8</v>
      </c>
      <c r="B14">
        <v>0.798</v>
      </c>
      <c r="C14">
        <v>0.0442957312</v>
      </c>
      <c r="D14" s="5">
        <v>2.02192479E-07</v>
      </c>
      <c r="E14" s="5">
        <v>7.6062885E-07</v>
      </c>
      <c r="F14">
        <v>0</v>
      </c>
      <c r="G14">
        <v>0.007</v>
      </c>
      <c r="H14">
        <v>0</v>
      </c>
      <c r="I14" s="5">
        <v>0.00892503566</v>
      </c>
      <c r="J14" s="5">
        <v>0</v>
      </c>
      <c r="K14">
        <v>0.114767402</v>
      </c>
      <c r="L14">
        <v>0.0615426999</v>
      </c>
      <c r="M14">
        <v>0.0175246017</v>
      </c>
      <c r="N14">
        <v>0.00967826504</v>
      </c>
      <c r="O14">
        <v>-12532.7912</v>
      </c>
      <c r="Q14">
        <v>-46118694.4</v>
      </c>
      <c r="S14">
        <v>-67885017.2</v>
      </c>
      <c r="T14">
        <v>4233.3924</v>
      </c>
      <c r="V14">
        <v>69852.6957</v>
      </c>
      <c r="X14">
        <v>32142.0994</v>
      </c>
      <c r="Y14">
        <v>-281599973</v>
      </c>
      <c r="Z14">
        <v>-149605.666</v>
      </c>
      <c r="AA14">
        <v>-287753612</v>
      </c>
      <c r="AB14">
        <v>-168014.842</v>
      </c>
    </row>
    <row r="15" spans="1:28" ht="15">
      <c r="A15">
        <v>9</v>
      </c>
      <c r="B15">
        <v>0.912</v>
      </c>
      <c r="C15">
        <v>0.0506236928</v>
      </c>
      <c r="D15" s="5">
        <v>2.02192479E-07</v>
      </c>
      <c r="E15" s="5">
        <v>7.6062885E-07</v>
      </c>
      <c r="F15">
        <v>0</v>
      </c>
      <c r="G15">
        <v>0.007</v>
      </c>
      <c r="H15">
        <v>0</v>
      </c>
      <c r="I15" s="5">
        <v>0.00892503566</v>
      </c>
      <c r="J15" s="5">
        <v>0</v>
      </c>
      <c r="K15">
        <v>0.121216898</v>
      </c>
      <c r="L15">
        <v>0.0553362723</v>
      </c>
      <c r="M15">
        <v>0.0237917962</v>
      </c>
      <c r="N15">
        <v>0.00961749801</v>
      </c>
      <c r="O15">
        <v>-12532.7912</v>
      </c>
      <c r="Q15">
        <v>-52462731.6</v>
      </c>
      <c r="S15">
        <v>-73997657.8</v>
      </c>
      <c r="T15">
        <v>4233.3924</v>
      </c>
      <c r="V15">
        <v>66784.0506</v>
      </c>
      <c r="X15">
        <v>29158.8125</v>
      </c>
      <c r="Y15">
        <v>-281599973</v>
      </c>
      <c r="Z15">
        <v>-149605.666</v>
      </c>
      <c r="AA15">
        <v>-287753612</v>
      </c>
      <c r="AB15">
        <v>-168014.842</v>
      </c>
    </row>
    <row r="16" spans="1:28" ht="15">
      <c r="A16">
        <v>10</v>
      </c>
      <c r="B16">
        <v>1.026</v>
      </c>
      <c r="C16">
        <v>0.0569516544</v>
      </c>
      <c r="D16" s="5">
        <v>2.02192479E-07</v>
      </c>
      <c r="E16" s="5">
        <v>7.6062885E-07</v>
      </c>
      <c r="F16">
        <v>0</v>
      </c>
      <c r="G16">
        <v>0.007</v>
      </c>
      <c r="H16">
        <v>0</v>
      </c>
      <c r="I16" s="5">
        <v>0.00892503566</v>
      </c>
      <c r="J16" s="5">
        <v>0</v>
      </c>
      <c r="K16">
        <v>0.127573931</v>
      </c>
      <c r="L16">
        <v>0.0490373831</v>
      </c>
      <c r="M16">
        <v>0.0301052217</v>
      </c>
      <c r="N16">
        <v>0.00960296184</v>
      </c>
      <c r="O16">
        <v>-12532.7912</v>
      </c>
      <c r="Q16">
        <v>-58512852.8</v>
      </c>
      <c r="S16">
        <v>-79843835.1</v>
      </c>
      <c r="T16">
        <v>4233.3924</v>
      </c>
      <c r="V16">
        <v>63769.7294</v>
      </c>
      <c r="X16">
        <v>26213.0906</v>
      </c>
      <c r="Y16">
        <v>-281599973</v>
      </c>
      <c r="Z16">
        <v>-149605.666</v>
      </c>
      <c r="AA16">
        <v>-287753612</v>
      </c>
      <c r="AB16">
        <v>-168014.842</v>
      </c>
    </row>
    <row r="17" spans="1:28" ht="15">
      <c r="A17">
        <v>11</v>
      </c>
      <c r="B17">
        <v>1.14</v>
      </c>
      <c r="C17">
        <v>0.063279616</v>
      </c>
      <c r="D17" s="5">
        <v>2.02192479E-07</v>
      </c>
      <c r="E17" s="5">
        <v>7.6062885E-07</v>
      </c>
      <c r="F17">
        <v>0</v>
      </c>
      <c r="G17">
        <v>0.007</v>
      </c>
      <c r="H17">
        <v>0</v>
      </c>
      <c r="I17" s="5">
        <v>0.00892503566</v>
      </c>
      <c r="J17" s="5">
        <v>0</v>
      </c>
      <c r="K17">
        <v>0.133921545</v>
      </c>
      <c r="L17">
        <v>0.0427290734</v>
      </c>
      <c r="M17">
        <v>0.0364233573</v>
      </c>
      <c r="N17">
        <v>0.00959313585</v>
      </c>
      <c r="O17">
        <v>-12532.7912</v>
      </c>
      <c r="Q17">
        <v>-64253380.1</v>
      </c>
      <c r="S17">
        <v>-85377581.7</v>
      </c>
      <c r="T17">
        <v>4233.3924</v>
      </c>
      <c r="V17">
        <v>60814.4703</v>
      </c>
      <c r="X17">
        <v>23342.9475</v>
      </c>
      <c r="Y17">
        <v>-281599973</v>
      </c>
      <c r="Z17">
        <v>-149605.666</v>
      </c>
      <c r="AA17">
        <v>-287753612</v>
      </c>
      <c r="AB17">
        <v>-168014.842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4"/>
  <sheetViews>
    <sheetView zoomScale="85" zoomScaleNormal="85" workbookViewId="0" topLeftCell="CL4">
      <selection activeCell="CV36" sqref="CV36"/>
    </sheetView>
  </sheetViews>
  <sheetFormatPr defaultColWidth="9.140625" defaultRowHeight="15"/>
  <cols>
    <col min="3" max="3" width="10.57421875" style="0" bestFit="1" customWidth="1"/>
    <col min="17" max="17" width="10.00390625" style="0" bestFit="1" customWidth="1"/>
    <col min="18" max="18" width="11.7109375" style="0" bestFit="1" customWidth="1"/>
    <col min="21" max="21" width="11.00390625" style="0" bestFit="1" customWidth="1"/>
    <col min="22" max="22" width="11.7109375" style="0" bestFit="1" customWidth="1"/>
    <col min="34" max="34" width="9.140625" style="18" customWidth="1"/>
    <col min="37" max="37" width="11.00390625" style="0" bestFit="1" customWidth="1"/>
    <col min="44" max="44" width="9.140625" style="18" customWidth="1"/>
    <col min="83" max="83" width="9.140625" style="24" customWidth="1"/>
    <col min="89" max="89" width="16.421875" style="0" customWidth="1"/>
    <col min="90" max="90" width="19.28125" style="0" bestFit="1" customWidth="1"/>
    <col min="91" max="91" width="20.57421875" style="0" bestFit="1" customWidth="1"/>
  </cols>
  <sheetData>
    <row r="1" spans="1:14" ht="15">
      <c r="A1" t="s">
        <v>52</v>
      </c>
      <c r="B1" t="s">
        <v>53</v>
      </c>
      <c r="E1" s="34"/>
      <c r="F1" s="34"/>
      <c r="G1" s="33" t="s">
        <v>80</v>
      </c>
      <c r="H1" s="33"/>
      <c r="I1" s="33"/>
      <c r="J1" s="33"/>
      <c r="K1" s="33"/>
      <c r="L1" s="33"/>
      <c r="M1" s="33"/>
      <c r="N1" s="33"/>
    </row>
    <row r="2" spans="3:14" ht="15">
      <c r="C2" t="s">
        <v>42</v>
      </c>
      <c r="E2" t="s">
        <v>68</v>
      </c>
      <c r="F2" t="s">
        <v>69</v>
      </c>
      <c r="G2" s="9" t="s">
        <v>70</v>
      </c>
      <c r="H2" s="11" t="s">
        <v>72</v>
      </c>
      <c r="I2" s="11" t="s">
        <v>73</v>
      </c>
      <c r="J2" s="11" t="s">
        <v>74</v>
      </c>
      <c r="K2" s="11" t="s">
        <v>75</v>
      </c>
      <c r="L2" s="11" t="s">
        <v>76</v>
      </c>
      <c r="M2" s="11" t="s">
        <v>77</v>
      </c>
      <c r="N2" s="11" t="s">
        <v>78</v>
      </c>
    </row>
    <row r="3" spans="3:14" ht="15">
      <c r="C3" t="s">
        <v>59</v>
      </c>
      <c r="E3" t="s">
        <v>64</v>
      </c>
      <c r="F3" t="s">
        <v>64</v>
      </c>
      <c r="G3" s="9" t="s">
        <v>64</v>
      </c>
      <c r="H3" s="11" t="s">
        <v>64</v>
      </c>
      <c r="I3" s="11" t="s">
        <v>64</v>
      </c>
      <c r="J3" s="11" t="s">
        <v>64</v>
      </c>
      <c r="K3" s="11" t="s">
        <v>64</v>
      </c>
      <c r="L3" s="11" t="s">
        <v>64</v>
      </c>
      <c r="M3" s="11" t="s">
        <v>64</v>
      </c>
      <c r="N3" s="11" t="s">
        <v>64</v>
      </c>
    </row>
    <row r="4" spans="1:14" ht="15">
      <c r="A4">
        <v>1</v>
      </c>
      <c r="B4" t="s">
        <v>61</v>
      </c>
      <c r="C4" s="5">
        <v>0</v>
      </c>
      <c r="E4" s="5">
        <f>'ASPEN Ex air'!D7</f>
        <v>7.27892925E-06</v>
      </c>
      <c r="F4" s="5">
        <f>'ASPEN Ex air'!E7</f>
        <v>2.73826386E-05</v>
      </c>
      <c r="G4" s="5">
        <f>'ASPEN Ex air'!F7</f>
        <v>0.00175817118</v>
      </c>
      <c r="H4">
        <f>'ASPEN Ex air'!H7</f>
        <v>0</v>
      </c>
      <c r="I4">
        <f>'ASPEN Ex air'!I7</f>
        <v>0.00807257207</v>
      </c>
      <c r="J4">
        <f>'ASPEN Ex air'!J7</f>
        <v>0</v>
      </c>
      <c r="K4">
        <f>'ASPEN Ex air'!K7</f>
        <v>0.0389363666</v>
      </c>
      <c r="L4">
        <f>'ASPEN Ex air'!L7</f>
        <v>0.0523099955</v>
      </c>
      <c r="M4">
        <f>'ASPEN Ex air'!M7</f>
        <v>5.01045113E-08</v>
      </c>
      <c r="N4">
        <f>'ASPEN Ex air'!N7</f>
        <v>0.0223687729</v>
      </c>
    </row>
    <row r="5" spans="1:14" ht="15">
      <c r="A5">
        <v>2</v>
      </c>
      <c r="B5" t="s">
        <v>62</v>
      </c>
      <c r="C5" s="5">
        <v>0.1</v>
      </c>
      <c r="E5" s="5">
        <f>'ASPEN Ex air'!D8</f>
        <v>0.000734443961</v>
      </c>
      <c r="F5" s="5">
        <f>'ASPEN Ex air'!E8</f>
        <v>0.00276290823</v>
      </c>
      <c r="G5" s="5">
        <f>'ASPEN Ex air'!F8</f>
        <v>0.00162109895</v>
      </c>
      <c r="H5">
        <f>'ASPEN Ex air'!H8</f>
        <v>0</v>
      </c>
      <c r="I5">
        <f>'ASPEN Ex air'!I8</f>
        <v>0.0108766338</v>
      </c>
      <c r="J5">
        <f>'ASPEN Ex air'!J8</f>
        <v>0</v>
      </c>
      <c r="K5">
        <f>'ASPEN Ex air'!K8</f>
        <v>0.0401314053</v>
      </c>
      <c r="L5">
        <f>'ASPEN Ex air'!L8</f>
        <v>0.0537643534</v>
      </c>
      <c r="M5">
        <f>'ASPEN Ex air'!M8</f>
        <v>5.15812509E-08</v>
      </c>
      <c r="N5">
        <f>'ASPEN Ex air'!N8</f>
        <v>0.0220111761</v>
      </c>
    </row>
    <row r="6" spans="1:14" ht="15">
      <c r="A6">
        <v>3</v>
      </c>
      <c r="B6" t="s">
        <v>62</v>
      </c>
      <c r="C6" s="5">
        <v>0.2</v>
      </c>
      <c r="E6" s="5">
        <f>'ASPEN Ex air'!D9</f>
        <v>0.00146160899</v>
      </c>
      <c r="F6" s="5">
        <f>'ASPEN Ex air'!E9</f>
        <v>0.00549843383</v>
      </c>
      <c r="G6" s="5">
        <f>'ASPEN Ex air'!F9</f>
        <v>0.00148128735</v>
      </c>
      <c r="H6">
        <f>'ASPEN Ex air'!H9</f>
        <v>0</v>
      </c>
      <c r="I6">
        <f>'ASPEN Ex air'!I9</f>
        <v>0.0136820652</v>
      </c>
      <c r="J6">
        <f>'ASPEN Ex air'!J9</f>
        <v>0</v>
      </c>
      <c r="K6">
        <f>'ASPEN Ex air'!K9</f>
        <v>0.0412922492</v>
      </c>
      <c r="L6">
        <f>'ASPEN Ex air'!L9</f>
        <v>0.0552187049</v>
      </c>
      <c r="M6">
        <f>'ASPEN Ex air'!M9</f>
        <v>5.28793771E-08</v>
      </c>
      <c r="N6">
        <f>'ASPEN Ex air'!N9</f>
        <v>0.0216754606</v>
      </c>
    </row>
    <row r="7" spans="1:14" ht="15">
      <c r="A7">
        <v>4</v>
      </c>
      <c r="B7" t="s">
        <v>62</v>
      </c>
      <c r="C7" s="5">
        <v>0.3</v>
      </c>
      <c r="E7" s="5">
        <f>'ASPEN Ex air'!D10</f>
        <v>0.00218877402</v>
      </c>
      <c r="F7" s="5">
        <f>'ASPEN Ex air'!E10</f>
        <v>0.00823395943</v>
      </c>
      <c r="G7" s="5">
        <f>'ASPEN Ex air'!F10</f>
        <v>0.00134016899</v>
      </c>
      <c r="H7">
        <f>'ASPEN Ex air'!H10</f>
        <v>0</v>
      </c>
      <c r="I7">
        <f>'ASPEN Ex air'!I10</f>
        <v>0.01648815</v>
      </c>
      <c r="J7">
        <f>'ASPEN Ex air'!J10</f>
        <v>0</v>
      </c>
      <c r="K7">
        <f>'ASPEN Ex air'!K10</f>
        <v>0.0424367868</v>
      </c>
      <c r="L7">
        <f>'ASPEN Ex air'!L10</f>
        <v>0.0566730526</v>
      </c>
      <c r="M7">
        <f>'ASPEN Ex air'!M10</f>
        <v>5.4116893E-08</v>
      </c>
      <c r="N7">
        <f>'ASPEN Ex air'!N10</f>
        <v>0.021350179</v>
      </c>
    </row>
    <row r="8" spans="1:14" ht="15">
      <c r="A8">
        <v>5</v>
      </c>
      <c r="B8" t="s">
        <v>62</v>
      </c>
      <c r="C8" s="5">
        <v>0.4</v>
      </c>
      <c r="E8" s="5">
        <f>'ASPEN Ex air'!D11</f>
        <v>0.00291593906</v>
      </c>
      <c r="F8" s="5">
        <f>'ASPEN Ex air'!E11</f>
        <v>0.010969485</v>
      </c>
      <c r="G8" s="5">
        <f>'ASPEN Ex air'!F11</f>
        <v>0.00119863191</v>
      </c>
      <c r="H8">
        <f>'ASPEN Ex air'!H11</f>
        <v>0</v>
      </c>
      <c r="I8">
        <f>'ASPEN Ex air'!I11</f>
        <v>0.0192944441</v>
      </c>
      <c r="J8">
        <f>'ASPEN Ex air'!J11</f>
        <v>0</v>
      </c>
      <c r="K8">
        <f>'ASPEN Ex air'!K11</f>
        <v>0.0435761084</v>
      </c>
      <c r="L8">
        <f>'ASPEN Ex air'!L11</f>
        <v>0.0581273977</v>
      </c>
      <c r="M8">
        <f>'ASPEN Ex air'!M11</f>
        <v>5.53696207E-08</v>
      </c>
      <c r="N8">
        <f>'ASPEN Ex air'!N11</f>
        <v>0.0210282344</v>
      </c>
    </row>
    <row r="9" spans="1:14" ht="15">
      <c r="A9">
        <v>6</v>
      </c>
      <c r="B9" t="s">
        <v>62</v>
      </c>
      <c r="C9" s="5">
        <v>0.5</v>
      </c>
      <c r="E9" s="5">
        <f>'ASPEN Ex air'!D12</f>
        <v>0.00364310409</v>
      </c>
      <c r="F9" s="5">
        <f>'ASPEN Ex air'!E12</f>
        <v>0.0137050106</v>
      </c>
      <c r="G9" s="5">
        <f>'ASPEN Ex air'!F12</f>
        <v>0.0010573639</v>
      </c>
      <c r="H9">
        <f>'ASPEN Ex air'!H12</f>
        <v>0</v>
      </c>
      <c r="I9">
        <f>'ASPEN Ex air'!I12</f>
        <v>0.0221006037</v>
      </c>
      <c r="J9">
        <f>'ASPEN Ex air'!J12</f>
        <v>0</v>
      </c>
      <c r="K9">
        <f>'ASPEN Ex air'!K12</f>
        <v>0.0447188058</v>
      </c>
      <c r="L9">
        <f>'ASPEN Ex air'!L12</f>
        <v>0.0595817408</v>
      </c>
      <c r="M9">
        <f>'ASPEN Ex air'!M12</f>
        <v>5.66995412E-08</v>
      </c>
      <c r="N9">
        <f>'ASPEN Ex air'!N12</f>
        <v>0.0207041282</v>
      </c>
    </row>
    <row r="10" spans="1:46" ht="15">
      <c r="A10">
        <v>7</v>
      </c>
      <c r="B10" t="s">
        <v>62</v>
      </c>
      <c r="C10" s="5">
        <v>0.6</v>
      </c>
      <c r="E10" s="5">
        <f>'ASPEN Ex air'!D13</f>
        <v>0.00437026912</v>
      </c>
      <c r="F10" s="5">
        <f>'ASPEN Ex air'!E13</f>
        <v>0.0164405362</v>
      </c>
      <c r="G10" s="5">
        <f>'ASPEN Ex air'!F13</f>
        <v>0.000917011582</v>
      </c>
      <c r="H10">
        <f>'ASPEN Ex air'!H13</f>
        <v>0</v>
      </c>
      <c r="I10">
        <f>'ASPEN Ex air'!I13</f>
        <v>0.0249063055</v>
      </c>
      <c r="J10">
        <f>'ASPEN Ex air'!J13</f>
        <v>0</v>
      </c>
      <c r="K10">
        <f>'ASPEN Ex air'!K13</f>
        <v>0.0458729581</v>
      </c>
      <c r="L10">
        <f>'ASPEN Ex air'!L13</f>
        <v>0.0610360823</v>
      </c>
      <c r="M10">
        <f>'ASPEN Ex air'!M13</f>
        <v>5.81694657E-08</v>
      </c>
      <c r="N10">
        <f>'ASPEN Ex air'!N13</f>
        <v>0.0203726903</v>
      </c>
      <c r="AT10" s="4" t="s">
        <v>6</v>
      </c>
    </row>
    <row r="11" spans="1:55" ht="15">
      <c r="A11">
        <v>8</v>
      </c>
      <c r="B11" t="s">
        <v>62</v>
      </c>
      <c r="C11" s="5">
        <v>0.7</v>
      </c>
      <c r="E11" s="5">
        <f>'ASPEN Ex air'!D14</f>
        <v>0.00509743415</v>
      </c>
      <c r="F11" s="5">
        <f>'ASPEN Ex air'!E14</f>
        <v>0.0191760618</v>
      </c>
      <c r="G11" s="5">
        <f>'ASPEN Ex air'!F14</f>
        <v>0.000778297033</v>
      </c>
      <c r="H11">
        <f>'ASPEN Ex air'!H14</f>
        <v>0</v>
      </c>
      <c r="I11">
        <f>'ASPEN Ex air'!I14</f>
        <v>0.0277111883</v>
      </c>
      <c r="J11">
        <f>'ASPEN Ex air'!J14</f>
        <v>0</v>
      </c>
      <c r="K11">
        <f>'ASPEN Ex air'!K14</f>
        <v>0.0470475883</v>
      </c>
      <c r="L11">
        <f>'ASPEN Ex air'!L14</f>
        <v>0.0624904226</v>
      </c>
      <c r="M11">
        <f>'ASPEN Ex air'!M14</f>
        <v>5.98544367E-08</v>
      </c>
      <c r="N11">
        <f>'ASPEN Ex air'!N14</f>
        <v>0.0200281459</v>
      </c>
      <c r="AT11" s="4" t="s">
        <v>16</v>
      </c>
      <c r="AU11" s="4" t="s">
        <v>11</v>
      </c>
      <c r="AV11" s="4" t="s">
        <v>51</v>
      </c>
      <c r="AW11" s="4" t="s">
        <v>10</v>
      </c>
      <c r="AX11" s="4" t="s">
        <v>11</v>
      </c>
      <c r="AY11" s="4" t="s">
        <v>16</v>
      </c>
      <c r="AZ11" s="4" t="s">
        <v>12</v>
      </c>
      <c r="BA11" s="4" t="s">
        <v>13</v>
      </c>
      <c r="BB11" s="4" t="s">
        <v>14</v>
      </c>
      <c r="BC11" s="4" t="s">
        <v>15</v>
      </c>
    </row>
    <row r="12" spans="1:55" ht="15">
      <c r="A12">
        <v>9</v>
      </c>
      <c r="B12" t="s">
        <v>62</v>
      </c>
      <c r="C12" s="5">
        <v>0.8</v>
      </c>
      <c r="E12" s="5">
        <f>'ASPEN Ex air'!D15</f>
        <v>0.00582459918</v>
      </c>
      <c r="F12" s="5">
        <f>'ASPEN Ex air'!E15</f>
        <v>0.0219115874</v>
      </c>
      <c r="G12" s="5">
        <f>'ASPEN Ex air'!F15</f>
        <v>0.000642132652</v>
      </c>
      <c r="H12">
        <f>'ASPEN Ex air'!H15</f>
        <v>0</v>
      </c>
      <c r="I12">
        <f>'ASPEN Ex air'!I15</f>
        <v>0.0305147961</v>
      </c>
      <c r="J12">
        <f>'ASPEN Ex air'!J15</f>
        <v>0</v>
      </c>
      <c r="K12">
        <f>'ASPEN Ex air'!K15</f>
        <v>0.0482540994</v>
      </c>
      <c r="L12">
        <f>'ASPEN Ex air'!L15</f>
        <v>0.0639447615</v>
      </c>
      <c r="M12">
        <f>'ASPEN Ex air'!M15</f>
        <v>6.18566642E-08</v>
      </c>
      <c r="N12">
        <f>'ASPEN Ex air'!N15</f>
        <v>0.0196631974</v>
      </c>
      <c r="AT12" s="4">
        <v>3.97</v>
      </c>
      <c r="AU12" s="4">
        <v>0.72</v>
      </c>
      <c r="AV12" s="20">
        <f>'Ch-exr of indole'!E21</f>
        <v>4458.1845</v>
      </c>
      <c r="AW12" s="4">
        <v>9.5</v>
      </c>
      <c r="AX12" s="4">
        <v>0.72</v>
      </c>
      <c r="AY12" s="4">
        <v>3.97</v>
      </c>
      <c r="AZ12" s="4">
        <v>236.1</v>
      </c>
      <c r="BA12" s="4">
        <v>275.01</v>
      </c>
      <c r="BB12" s="4">
        <v>19.81</v>
      </c>
      <c r="BC12" s="4">
        <v>831.65</v>
      </c>
    </row>
    <row r="13" spans="1:89" ht="15">
      <c r="A13">
        <v>10</v>
      </c>
      <c r="B13" t="s">
        <v>62</v>
      </c>
      <c r="C13" s="5">
        <v>0.9</v>
      </c>
      <c r="E13" s="5">
        <f>'ASPEN Ex air'!D16</f>
        <v>0.00655176422</v>
      </c>
      <c r="F13" s="5">
        <f>'ASPEN Ex air'!E16</f>
        <v>0.024647113</v>
      </c>
      <c r="G13" s="5">
        <f>'ASPEN Ex air'!F16</f>
        <v>0.000509794945</v>
      </c>
      <c r="H13">
        <f>'ASPEN Ex air'!H16</f>
        <v>0</v>
      </c>
      <c r="I13">
        <f>'ASPEN Ex air'!I16</f>
        <v>0.0333164906</v>
      </c>
      <c r="J13">
        <f>'ASPEN Ex air'!J16</f>
        <v>0</v>
      </c>
      <c r="K13">
        <f>'ASPEN Ex air'!K16</f>
        <v>0.0495084459</v>
      </c>
      <c r="L13">
        <f>'ASPEN Ex air'!L16</f>
        <v>0.0653990991</v>
      </c>
      <c r="M13">
        <f>'ASPEN Ex air'!M16</f>
        <v>6.43294263E-08</v>
      </c>
      <c r="N13">
        <f>'ASPEN Ex air'!N16</f>
        <v>0.0192676339</v>
      </c>
      <c r="BE13" s="4" t="s">
        <v>6</v>
      </c>
      <c r="CK13" t="s">
        <v>114</v>
      </c>
    </row>
    <row r="14" spans="1:93" ht="15">
      <c r="A14">
        <v>11</v>
      </c>
      <c r="B14" t="s">
        <v>62</v>
      </c>
      <c r="C14" s="5">
        <v>1</v>
      </c>
      <c r="E14" s="5">
        <f>'ASPEN Ex air'!D17</f>
        <v>0.00727892925</v>
      </c>
      <c r="F14" s="5">
        <f>'ASPEN Ex air'!E17</f>
        <v>0.0273826386</v>
      </c>
      <c r="G14" s="5">
        <f>'ASPEN Ex air'!F17</f>
        <v>0.000383217271</v>
      </c>
      <c r="H14">
        <f>'ASPEN Ex air'!H17</f>
        <v>0</v>
      </c>
      <c r="I14">
        <f>'ASPEN Ex air'!I17</f>
        <v>0.036115305</v>
      </c>
      <c r="J14">
        <f>'ASPEN Ex air'!J17</f>
        <v>0</v>
      </c>
      <c r="K14">
        <f>'ASPEN Ex air'!K17</f>
        <v>0.0508347931</v>
      </c>
      <c r="L14">
        <f>'ASPEN Ex air'!L17</f>
        <v>0.066853435</v>
      </c>
      <c r="M14">
        <f>'ASPEN Ex air'!M17</f>
        <v>6.75228574E-08</v>
      </c>
      <c r="N14">
        <f>'ASPEN Ex air'!N17</f>
        <v>0.0188259895</v>
      </c>
      <c r="AT14" t="s">
        <v>106</v>
      </c>
      <c r="BE14" t="s">
        <v>107</v>
      </c>
      <c r="BI14" s="21" t="s">
        <v>63</v>
      </c>
      <c r="BT14" s="22" t="s">
        <v>8</v>
      </c>
      <c r="BX14" t="s">
        <v>7</v>
      </c>
      <c r="BY14" t="s">
        <v>108</v>
      </c>
      <c r="CA14" s="23" t="s">
        <v>9</v>
      </c>
      <c r="CG14" t="s">
        <v>110</v>
      </c>
      <c r="CK14" t="s">
        <v>110</v>
      </c>
      <c r="CO14" t="s">
        <v>65</v>
      </c>
    </row>
    <row r="15" spans="16:93" ht="15">
      <c r="P15" s="16" t="s">
        <v>1</v>
      </c>
      <c r="Q15" s="16"/>
      <c r="R15" s="16"/>
      <c r="T15" s="16" t="s">
        <v>2</v>
      </c>
      <c r="U15" s="16"/>
      <c r="V15" s="16"/>
      <c r="X15" s="17" t="s">
        <v>3</v>
      </c>
      <c r="Z15" s="16" t="s">
        <v>4</v>
      </c>
      <c r="AA15" s="16"/>
      <c r="AB15" s="16"/>
      <c r="AD15" s="16" t="s">
        <v>5</v>
      </c>
      <c r="AE15" s="16"/>
      <c r="AF15" s="16"/>
      <c r="AJ15" s="25" t="s">
        <v>0</v>
      </c>
      <c r="AK15" s="25"/>
      <c r="AL15" s="25"/>
      <c r="AN15" s="25" t="s">
        <v>0</v>
      </c>
      <c r="AO15" s="25"/>
      <c r="AP15" s="25"/>
      <c r="AT15" s="32" t="s">
        <v>99</v>
      </c>
      <c r="AU15" s="32"/>
      <c r="AV15" s="19" t="s">
        <v>103</v>
      </c>
      <c r="AW15" s="32" t="s">
        <v>105</v>
      </c>
      <c r="AX15" s="32"/>
      <c r="AY15" s="32"/>
      <c r="AZ15" s="32"/>
      <c r="BA15" s="32"/>
      <c r="BB15" s="32"/>
      <c r="BC15" s="32"/>
      <c r="BE15" s="19" t="s">
        <v>99</v>
      </c>
      <c r="BF15" s="19" t="s">
        <v>100</v>
      </c>
      <c r="BG15" s="19" t="s">
        <v>101</v>
      </c>
      <c r="BI15" s="32" t="s">
        <v>99</v>
      </c>
      <c r="BJ15" s="32"/>
      <c r="BK15" s="19" t="s">
        <v>103</v>
      </c>
      <c r="BL15" s="32" t="s">
        <v>105</v>
      </c>
      <c r="BM15" s="32"/>
      <c r="BN15" s="32"/>
      <c r="BO15" s="32"/>
      <c r="BP15" s="32"/>
      <c r="BQ15" s="32"/>
      <c r="BR15" s="32"/>
      <c r="BT15" s="19" t="s">
        <v>99</v>
      </c>
      <c r="BU15" s="19" t="s">
        <v>100</v>
      </c>
      <c r="BV15" s="19" t="s">
        <v>101</v>
      </c>
      <c r="BX15" s="4" t="s">
        <v>109</v>
      </c>
      <c r="BY15" s="8" t="s">
        <v>60</v>
      </c>
      <c r="CA15" s="19" t="s">
        <v>99</v>
      </c>
      <c r="CB15" s="19" t="s">
        <v>100</v>
      </c>
      <c r="CC15" s="19" t="s">
        <v>101</v>
      </c>
      <c r="CG15" t="s">
        <v>36</v>
      </c>
      <c r="CK15" t="s">
        <v>38</v>
      </c>
      <c r="CO15" t="s">
        <v>38</v>
      </c>
    </row>
    <row r="16" spans="5:91" ht="15">
      <c r="E16" t="s">
        <v>68</v>
      </c>
      <c r="F16" t="s">
        <v>69</v>
      </c>
      <c r="G16" s="9" t="s">
        <v>70</v>
      </c>
      <c r="H16" s="11" t="s">
        <v>72</v>
      </c>
      <c r="I16" s="11" t="s">
        <v>73</v>
      </c>
      <c r="J16" s="11" t="s">
        <v>74</v>
      </c>
      <c r="K16" s="11" t="s">
        <v>75</v>
      </c>
      <c r="L16" s="11" t="s">
        <v>76</v>
      </c>
      <c r="M16" s="11" t="s">
        <v>77</v>
      </c>
      <c r="N16" s="11" t="s">
        <v>78</v>
      </c>
      <c r="P16" t="s">
        <v>81</v>
      </c>
      <c r="Q16" t="s">
        <v>82</v>
      </c>
      <c r="R16" t="s">
        <v>83</v>
      </c>
      <c r="T16" t="s">
        <v>96</v>
      </c>
      <c r="U16" t="s">
        <v>84</v>
      </c>
      <c r="V16" t="s">
        <v>85</v>
      </c>
      <c r="Z16" t="s">
        <v>55</v>
      </c>
      <c r="AA16" t="s">
        <v>86</v>
      </c>
      <c r="AB16" t="s">
        <v>87</v>
      </c>
      <c r="AD16" t="s">
        <v>97</v>
      </c>
      <c r="AE16" t="s">
        <v>88</v>
      </c>
      <c r="AF16" t="s">
        <v>89</v>
      </c>
      <c r="AJ16" s="31"/>
      <c r="AK16" s="31"/>
      <c r="AL16" s="31"/>
      <c r="AN16" s="31"/>
      <c r="AO16" s="31"/>
      <c r="AP16" s="31"/>
      <c r="AT16" t="s">
        <v>45</v>
      </c>
      <c r="AU16" t="s">
        <v>44</v>
      </c>
      <c r="AV16" t="s">
        <v>104</v>
      </c>
      <c r="AW16" t="s">
        <v>43</v>
      </c>
      <c r="AX16" t="s">
        <v>44</v>
      </c>
      <c r="AY16" t="s">
        <v>45</v>
      </c>
      <c r="AZ16" t="s">
        <v>46</v>
      </c>
      <c r="BA16" t="s">
        <v>47</v>
      </c>
      <c r="BB16" t="s">
        <v>48</v>
      </c>
      <c r="BC16" t="s">
        <v>49</v>
      </c>
      <c r="CG16" s="19" t="s">
        <v>99</v>
      </c>
      <c r="CH16" s="19" t="s">
        <v>100</v>
      </c>
      <c r="CI16" s="19" t="s">
        <v>101</v>
      </c>
      <c r="CK16" s="19" t="s">
        <v>99</v>
      </c>
      <c r="CL16" s="19" t="s">
        <v>100</v>
      </c>
      <c r="CM16" s="19" t="s">
        <v>101</v>
      </c>
    </row>
    <row r="17" spans="16:99" ht="15">
      <c r="P17" t="s">
        <v>90</v>
      </c>
      <c r="Q17" t="s">
        <v>90</v>
      </c>
      <c r="R17" t="s">
        <v>90</v>
      </c>
      <c r="T17" t="s">
        <v>90</v>
      </c>
      <c r="U17" t="s">
        <v>90</v>
      </c>
      <c r="V17" t="s">
        <v>90</v>
      </c>
      <c r="X17" t="s">
        <v>60</v>
      </c>
      <c r="Z17" t="s">
        <v>91</v>
      </c>
      <c r="AA17" t="s">
        <v>91</v>
      </c>
      <c r="AB17" t="s">
        <v>91</v>
      </c>
      <c r="AD17" t="s">
        <v>91</v>
      </c>
      <c r="AE17" t="s">
        <v>91</v>
      </c>
      <c r="AF17" t="s">
        <v>91</v>
      </c>
      <c r="AJ17" t="s">
        <v>99</v>
      </c>
      <c r="AK17" t="s">
        <v>100</v>
      </c>
      <c r="AL17" t="s">
        <v>101</v>
      </c>
      <c r="AN17" t="s">
        <v>99</v>
      </c>
      <c r="AO17" t="s">
        <v>100</v>
      </c>
      <c r="AP17" t="s">
        <v>101</v>
      </c>
      <c r="CQ17" t="s">
        <v>115</v>
      </c>
      <c r="CS17" t="s">
        <v>121</v>
      </c>
      <c r="CT17" t="s">
        <v>120</v>
      </c>
      <c r="CU17" t="s">
        <v>122</v>
      </c>
    </row>
    <row r="18" spans="5:99" ht="15">
      <c r="E18" s="12">
        <f>E4/(E4+F4)</f>
        <v>0.2100000000432756</v>
      </c>
      <c r="F18" s="12">
        <f>F4/(E4+F4)</f>
        <v>0.7899999999567244</v>
      </c>
      <c r="G18" s="14">
        <f>G4/G4</f>
        <v>1</v>
      </c>
      <c r="H18" s="14">
        <f>H4/($H$4+$I$4+$J$4+$K$4+$L$4+$M$4+$N$4)</f>
        <v>0</v>
      </c>
      <c r="I18" s="14">
        <f aca="true" t="shared" si="0" ref="I18:N18">I4/($H$4+$I$4+$J$4+$K$4+$L$4+$M$4+$N$4)</f>
        <v>0.06633840788455982</v>
      </c>
      <c r="J18" s="14">
        <f t="shared" si="0"/>
        <v>0</v>
      </c>
      <c r="K18" s="14">
        <f t="shared" si="0"/>
        <v>0.31996946532724496</v>
      </c>
      <c r="L18" s="14">
        <f t="shared" si="0"/>
        <v>0.42987065186009393</v>
      </c>
      <c r="M18" s="14">
        <f t="shared" si="0"/>
        <v>4.1174652621911325E-07</v>
      </c>
      <c r="N18" s="14">
        <f t="shared" si="0"/>
        <v>0.183821063181575</v>
      </c>
      <c r="O18" s="15">
        <f>SUM(H18:N18)</f>
        <v>0.9999999999999999</v>
      </c>
      <c r="P18">
        <f>'ASPEN Ex air'!O7</f>
        <v>-12532.7912</v>
      </c>
      <c r="Q18">
        <f>'ASPEN Ex air'!P7</f>
        <v>451151988</v>
      </c>
      <c r="R18">
        <f>'ASPEN Ex air'!Q7</f>
        <v>-18432214.2</v>
      </c>
      <c r="T18">
        <f>P18</f>
        <v>-12532.7912</v>
      </c>
      <c r="U18">
        <f>'ASPEN Ex air'!R7</f>
        <v>95447558.5</v>
      </c>
      <c r="V18">
        <f>'ASPEN Ex air'!S7</f>
        <v>-61221989.9</v>
      </c>
      <c r="X18">
        <v>298</v>
      </c>
      <c r="Z18">
        <f>'ASPEN Ex air'!T7</f>
        <v>4233.3924</v>
      </c>
      <c r="AA18">
        <f>'ASPEN Ex air'!U7</f>
        <v>93588.0881</v>
      </c>
      <c r="AB18">
        <f>'ASPEN Ex air'!V7</f>
        <v>89843.0808</v>
      </c>
      <c r="AD18">
        <f>Z18</f>
        <v>4233.3924</v>
      </c>
      <c r="AE18">
        <f>'ASPEN Ex air'!W7</f>
        <v>-393625.558</v>
      </c>
      <c r="AF18">
        <f>'ASPEN Ex air'!X7</f>
        <v>33667.276</v>
      </c>
      <c r="AJ18">
        <f aca="true" t="shared" si="1" ref="AJ18:AJ28">(P18-T18)-X18*(Z18-AD18)</f>
        <v>0</v>
      </c>
      <c r="AK18">
        <f aca="true" t="shared" si="2" ref="AK18:AK28">(Q18-U18)-X18*(AA18-AE18)</f>
        <v>210514762.9622</v>
      </c>
      <c r="AL18">
        <f aca="true" t="shared" si="3" ref="AL18:AL28">(R18-V18)-X18*(AB18-AF18)</f>
        <v>26049385.869600005</v>
      </c>
      <c r="AN18">
        <f aca="true" t="shared" si="4" ref="AN18:AN28">AJ18/1000000</f>
        <v>0</v>
      </c>
      <c r="AO18">
        <f aca="true" t="shared" si="5" ref="AO18:AO28">AK18/1000000</f>
        <v>210.5147629622</v>
      </c>
      <c r="AP18">
        <f aca="true" t="shared" si="6" ref="AP18:AP28">AL18/1000000</f>
        <v>26.049385869600005</v>
      </c>
      <c r="AT18">
        <f aca="true" t="shared" si="7" ref="AT18:AT28">E18*$AT$12</f>
        <v>0.8337000001718041</v>
      </c>
      <c r="AU18">
        <f aca="true" t="shared" si="8" ref="AU18:AU28">F18*$AU$12</f>
        <v>0.5687999999688416</v>
      </c>
      <c r="AV18">
        <f aca="true" t="shared" si="9" ref="AV18:AV28">G18*$AV$12</f>
        <v>4458.1845</v>
      </c>
      <c r="AW18">
        <f aca="true" t="shared" si="10" ref="AW18:AW28">H18*$AW$12</f>
        <v>0</v>
      </c>
      <c r="AX18">
        <f aca="true" t="shared" si="11" ref="AX18:AX28">I18*$AX$12</f>
        <v>0.04776365367688307</v>
      </c>
      <c r="AY18">
        <f aca="true" t="shared" si="12" ref="AY18:AY28">J18*$AY$12</f>
        <v>0</v>
      </c>
      <c r="AZ18">
        <f aca="true" t="shared" si="13" ref="AZ18:AZ28">K18*$AZ$12</f>
        <v>75.54479076376253</v>
      </c>
      <c r="BA18">
        <f aca="true" t="shared" si="14" ref="BA18:BA28">L18*$BA$12</f>
        <v>118.21872796804443</v>
      </c>
      <c r="BB18">
        <f aca="true" t="shared" si="15" ref="BB18:BB28">M18*$BB$12</f>
        <v>8.156698684400633E-06</v>
      </c>
      <c r="BC18">
        <f aca="true" t="shared" si="16" ref="BC18:BC28">N18*$BC$12</f>
        <v>152.87478719495687</v>
      </c>
      <c r="BE18">
        <f aca="true" t="shared" si="17" ref="BE18:BE28">AT18+AU18</f>
        <v>1.4025000001406456</v>
      </c>
      <c r="BF18">
        <f aca="true" t="shared" si="18" ref="BF18:BF28">AV18</f>
        <v>4458.1845</v>
      </c>
      <c r="BG18">
        <f aca="true" t="shared" si="19" ref="BG18:BG28">SUM(AW18:BC18)</f>
        <v>346.6860777371394</v>
      </c>
      <c r="BI18" s="15">
        <f>E18*LN(E18)</f>
        <v>-0.32773602715984274</v>
      </c>
      <c r="BJ18" s="15">
        <f>F18*LN(F18)</f>
        <v>-0.18622064351471976</v>
      </c>
      <c r="BK18" s="15">
        <f>G18*LN(G18)</f>
        <v>0</v>
      </c>
      <c r="BL18" s="15"/>
      <c r="BM18" s="15">
        <f aca="true" t="shared" si="20" ref="BM18:BM28">I18*LN(I18)</f>
        <v>-0.17997518811128627</v>
      </c>
      <c r="BN18" s="15"/>
      <c r="BO18" s="15">
        <f aca="true" t="shared" si="21" ref="BO18:BO28">K18*LN(K18)</f>
        <v>-0.36461471158320014</v>
      </c>
      <c r="BP18" s="15">
        <f aca="true" t="shared" si="22" ref="BP18:BP28">L18*LN(L18)</f>
        <v>-0.3629272929512906</v>
      </c>
      <c r="BQ18" s="15">
        <f aca="true" t="shared" si="23" ref="BQ18:BQ28">M18*LN(M18)</f>
        <v>-6.053850667691927E-06</v>
      </c>
      <c r="BR18" s="15">
        <f aca="true" t="shared" si="24" ref="BR18:BR28">N18*LN(N18)</f>
        <v>-0.31135473397706387</v>
      </c>
      <c r="BT18" s="15">
        <f aca="true" t="shared" si="25" ref="BT18:BT28">BI18+BJ18</f>
        <v>-0.5139566706745625</v>
      </c>
      <c r="BU18" s="15">
        <f aca="true" t="shared" si="26" ref="BU18:BU28">BK18</f>
        <v>0</v>
      </c>
      <c r="BV18" s="15">
        <f aca="true" t="shared" si="27" ref="BV18:BV28">SUM(BL18:BR18)</f>
        <v>-1.2188779804735086</v>
      </c>
      <c r="BX18">
        <f>8.3144/1000</f>
        <v>0.0083144</v>
      </c>
      <c r="BY18">
        <v>298.15</v>
      </c>
      <c r="CA18">
        <f aca="true" t="shared" si="28" ref="CA18:CA28">BE18+BX18*BY18*BT18</f>
        <v>0.1284330938275855</v>
      </c>
      <c r="CB18">
        <f aca="true" t="shared" si="29" ref="CB18:CB28">BF18+BX18*BY18*BU18</f>
        <v>4458.1845</v>
      </c>
      <c r="CC18">
        <f aca="true" t="shared" si="30" ref="CC18:CC28">BG18+BX18*BY18*BV18</f>
        <v>343.6645543551843</v>
      </c>
      <c r="CG18">
        <f aca="true" t="shared" si="31" ref="CG18:CG28">AN18+CA18</f>
        <v>0.1284330938275855</v>
      </c>
      <c r="CH18">
        <f aca="true" t="shared" si="32" ref="CH18:CH28">AO18+CB18</f>
        <v>4668.6992629622</v>
      </c>
      <c r="CI18">
        <f aca="true" t="shared" si="33" ref="CI18:CI28">AP18+CC18</f>
        <v>369.7139402247843</v>
      </c>
      <c r="CK18" s="27">
        <f aca="true" t="shared" si="34" ref="CK18:CK28">CG18*(E4+F4)*1000</f>
        <v>0.004451692395890271</v>
      </c>
      <c r="CL18" s="27">
        <f aca="true" t="shared" si="35" ref="CL18:CL28">CH18*G4*1000</f>
        <v>8208.372492227381</v>
      </c>
      <c r="CM18" s="27">
        <f aca="true" t="shared" si="36" ref="CM18:CM28">CI18*SUM(H4:N4)*1000</f>
        <v>44989.66018210534</v>
      </c>
      <c r="CO18">
        <f>'Ch-exr of biomass'!$E$34</f>
        <v>63893.67098902874</v>
      </c>
      <c r="CQ18" s="3">
        <v>0</v>
      </c>
      <c r="CS18" s="13">
        <f>(CM18+CL18)/(CK18+CO18)</f>
        <v>0.832602480721092</v>
      </c>
      <c r="CT18" s="13">
        <f>(CH33+CI33)/(CG33+CO18)</f>
        <v>0.055404741606685314</v>
      </c>
      <c r="CU18" s="13">
        <f>(CM33+CL33)/(CK33+CO18)</f>
        <v>0.7771977429746456</v>
      </c>
    </row>
    <row r="19" spans="5:99" ht="15">
      <c r="E19" s="12">
        <f aca="true" t="shared" si="37" ref="E19:E28">E5/(E5+F5)</f>
        <v>0.21000000025447824</v>
      </c>
      <c r="F19" s="12">
        <f aca="true" t="shared" si="38" ref="F19:F28">F5/(E5+F5)</f>
        <v>0.7899999997455217</v>
      </c>
      <c r="G19" s="14">
        <f aca="true" t="shared" si="39" ref="G19:G28">G5/G5</f>
        <v>1</v>
      </c>
      <c r="H19" s="14">
        <f>H5/($H$5+$I$5+$J$5+$K$5+$L$5+$M$5+$N$5)</f>
        <v>0</v>
      </c>
      <c r="I19" s="14">
        <f aca="true" t="shared" si="40" ref="I19:N19">I5/($H$5+$I$5+$J$5+$K$5+$L$5+$M$5+$N$5)</f>
        <v>0.08578895116301835</v>
      </c>
      <c r="J19" s="14">
        <f t="shared" si="40"/>
        <v>0</v>
      </c>
      <c r="K19" s="14">
        <f t="shared" si="40"/>
        <v>0.31653462207994865</v>
      </c>
      <c r="L19" s="14">
        <f t="shared" si="40"/>
        <v>0.4240638760995943</v>
      </c>
      <c r="M19" s="14">
        <f t="shared" si="40"/>
        <v>4.068447550737156E-07</v>
      </c>
      <c r="N19" s="14">
        <f t="shared" si="40"/>
        <v>0.17361214381268375</v>
      </c>
      <c r="O19" s="15">
        <f aca="true" t="shared" si="41" ref="O19:O28">SUM(H19:N19)</f>
        <v>1</v>
      </c>
      <c r="P19">
        <f>'ASPEN Ex air'!O8</f>
        <v>-12532.7912</v>
      </c>
      <c r="Q19">
        <f>'ASPEN Ex air'!P8</f>
        <v>451672025</v>
      </c>
      <c r="R19">
        <f>'ASPEN Ex air'!Q8</f>
        <v>-17341305</v>
      </c>
      <c r="T19">
        <f aca="true" t="shared" si="42" ref="T19:T28">P19</f>
        <v>-12532.7912</v>
      </c>
      <c r="U19">
        <f>'ASPEN Ex air'!R8</f>
        <v>95449510.6</v>
      </c>
      <c r="V19">
        <f>'ASPEN Ex air'!S8</f>
        <v>-59819341.3</v>
      </c>
      <c r="X19">
        <v>298</v>
      </c>
      <c r="Z19">
        <f>'ASPEN Ex air'!T8</f>
        <v>4233.3924</v>
      </c>
      <c r="AA19">
        <f>'ASPEN Ex air'!U8</f>
        <v>93946.9366</v>
      </c>
      <c r="AB19">
        <f>'ASPEN Ex air'!V8</f>
        <v>89966.3269</v>
      </c>
      <c r="AD19">
        <f aca="true" t="shared" si="43" ref="AD19:AD28">Z19</f>
        <v>4233.3924</v>
      </c>
      <c r="AE19">
        <f>'ASPEN Ex air'!W8</f>
        <v>-393626.605</v>
      </c>
      <c r="AF19">
        <f>'ASPEN Ex air'!X8</f>
        <v>34168.8546</v>
      </c>
      <c r="AJ19">
        <f t="shared" si="1"/>
        <v>0</v>
      </c>
      <c r="AK19">
        <f t="shared" si="2"/>
        <v>210925599.00319996</v>
      </c>
      <c r="AL19">
        <f t="shared" si="3"/>
        <v>25850389.554599997</v>
      </c>
      <c r="AN19">
        <f t="shared" si="4"/>
        <v>0</v>
      </c>
      <c r="AO19">
        <f t="shared" si="5"/>
        <v>210.92559900319998</v>
      </c>
      <c r="AP19">
        <f t="shared" si="6"/>
        <v>25.850389554599996</v>
      </c>
      <c r="AT19">
        <f t="shared" si="7"/>
        <v>0.8337000010102786</v>
      </c>
      <c r="AU19">
        <f t="shared" si="8"/>
        <v>0.5687999998167756</v>
      </c>
      <c r="AV19">
        <f t="shared" si="9"/>
        <v>4458.1845</v>
      </c>
      <c r="AW19">
        <f t="shared" si="10"/>
        <v>0</v>
      </c>
      <c r="AX19">
        <f t="shared" si="11"/>
        <v>0.061768044837373214</v>
      </c>
      <c r="AY19">
        <f t="shared" si="12"/>
        <v>0</v>
      </c>
      <c r="AZ19">
        <f t="shared" si="13"/>
        <v>74.73382427307587</v>
      </c>
      <c r="BA19">
        <f t="shared" si="14"/>
        <v>116.62180656614942</v>
      </c>
      <c r="BB19">
        <f t="shared" si="15"/>
        <v>8.059594598010306E-06</v>
      </c>
      <c r="BC19">
        <f t="shared" si="16"/>
        <v>144.38453940181844</v>
      </c>
      <c r="BE19">
        <f t="shared" si="17"/>
        <v>1.4025000008270543</v>
      </c>
      <c r="BF19">
        <f t="shared" si="18"/>
        <v>4458.1845</v>
      </c>
      <c r="BG19">
        <f t="shared" si="19"/>
        <v>335.8019463454757</v>
      </c>
      <c r="BI19" s="15">
        <f aca="true" t="shared" si="44" ref="BI19:BI28">E19*LN(E19)</f>
        <v>-0.327736027278253</v>
      </c>
      <c r="BJ19" s="15">
        <f aca="true" t="shared" si="45" ref="BJ19:BJ28">F19*LN(F19)</f>
        <v>-0.18622064367613728</v>
      </c>
      <c r="BK19" s="15"/>
      <c r="BL19" s="15"/>
      <c r="BM19" s="15">
        <f t="shared" si="20"/>
        <v>-0.21068608727529253</v>
      </c>
      <c r="BN19" s="15"/>
      <c r="BO19" s="15">
        <f t="shared" si="21"/>
        <v>-0.3641169462128694</v>
      </c>
      <c r="BP19" s="15">
        <f t="shared" si="22"/>
        <v>-0.3637921794466864</v>
      </c>
      <c r="BQ19" s="15">
        <f t="shared" si="23"/>
        <v>-5.986653100359282E-06</v>
      </c>
      <c r="BR19" s="15">
        <f t="shared" si="24"/>
        <v>-0.3039829759613438</v>
      </c>
      <c r="BT19" s="15">
        <f t="shared" si="25"/>
        <v>-0.5139566709543903</v>
      </c>
      <c r="BU19" s="15">
        <f t="shared" si="26"/>
        <v>0</v>
      </c>
      <c r="BV19" s="15">
        <f t="shared" si="27"/>
        <v>-1.2425841755492926</v>
      </c>
      <c r="BX19">
        <f aca="true" t="shared" si="46" ref="BX19:BX28">8.3144/1000</f>
        <v>0.0083144</v>
      </c>
      <c r="BY19">
        <v>298.15</v>
      </c>
      <c r="CA19">
        <f t="shared" si="28"/>
        <v>0.1284330938203182</v>
      </c>
      <c r="CB19">
        <f t="shared" si="29"/>
        <v>4458.1845</v>
      </c>
      <c r="CC19">
        <f t="shared" si="30"/>
        <v>332.7216567671776</v>
      </c>
      <c r="CG19">
        <f t="shared" si="31"/>
        <v>0.1284330938203182</v>
      </c>
      <c r="CH19">
        <f t="shared" si="32"/>
        <v>4669.1100990032</v>
      </c>
      <c r="CI19">
        <f t="shared" si="33"/>
        <v>358.5720463217776</v>
      </c>
      <c r="CK19" s="27">
        <f t="shared" si="34"/>
        <v>0.4491757620693984</v>
      </c>
      <c r="CL19" s="27">
        <f t="shared" si="35"/>
        <v>7569.089478928484</v>
      </c>
      <c r="CM19" s="27">
        <f t="shared" si="36"/>
        <v>45461.06212847415</v>
      </c>
      <c r="CO19">
        <f>'Ch-exr of biomass'!$E$34</f>
        <v>63893.67098902874</v>
      </c>
      <c r="CQ19" s="3">
        <v>0.1</v>
      </c>
      <c r="CS19" s="13">
        <f aca="true" t="shared" si="47" ref="CS19:CS28">(CM19+CL19)/(CK19+CO19)</f>
        <v>0.8299691970189329</v>
      </c>
      <c r="CT19" s="13">
        <f aca="true" t="shared" si="48" ref="CT19:CT28">(CH34+CI34)/(CG34+CO19)</f>
        <v>0.05664625591040888</v>
      </c>
      <c r="CU19" s="13">
        <f aca="true" t="shared" si="49" ref="CU19:CU28">(CM34+CL34)/(CK34+CO19)</f>
        <v>0.7733233393317892</v>
      </c>
    </row>
    <row r="20" spans="5:99" ht="15">
      <c r="E20" s="12">
        <f t="shared" si="37"/>
        <v>0.20999999968391</v>
      </c>
      <c r="F20" s="12">
        <f t="shared" si="38"/>
        <v>0.79000000031609</v>
      </c>
      <c r="G20" s="14">
        <f t="shared" si="39"/>
        <v>1</v>
      </c>
      <c r="H20" s="14">
        <f>H6/($H$6+$I$6+$J$6+$K$6+$L$6+$M$6+$N$6)</f>
        <v>0</v>
      </c>
      <c r="I20" s="14">
        <f aca="true" t="shared" si="50" ref="I20:N20">I6/($H$6+$I$6+$J$6+$K$6+$L$6+$M$6+$N$6)</f>
        <v>0.10375534565847339</v>
      </c>
      <c r="J20" s="14">
        <f t="shared" si="50"/>
        <v>0</v>
      </c>
      <c r="K20" s="14">
        <f t="shared" si="50"/>
        <v>0.3131319377692939</v>
      </c>
      <c r="L20" s="14">
        <f t="shared" si="50"/>
        <v>0.41874057241831725</v>
      </c>
      <c r="M20" s="14">
        <f t="shared" si="50"/>
        <v>4.010007238684451E-07</v>
      </c>
      <c r="N20" s="14">
        <f t="shared" si="50"/>
        <v>0.1643717431531916</v>
      </c>
      <c r="O20" s="15">
        <f t="shared" si="41"/>
        <v>1</v>
      </c>
      <c r="P20">
        <f>'ASPEN Ex air'!O9</f>
        <v>-12532.7912</v>
      </c>
      <c r="Q20">
        <f>'ASPEN Ex air'!P9</f>
        <v>452230712</v>
      </c>
      <c r="R20">
        <f>'ASPEN Ex air'!Q9</f>
        <v>-16335749.7</v>
      </c>
      <c r="T20">
        <f t="shared" si="42"/>
        <v>-12532.7912</v>
      </c>
      <c r="U20">
        <f>'ASPEN Ex air'!R9</f>
        <v>95450657.9</v>
      </c>
      <c r="V20">
        <f>'ASPEN Ex air'!S9</f>
        <v>-58542313.4</v>
      </c>
      <c r="X20">
        <v>298</v>
      </c>
      <c r="Z20">
        <f>'ASPEN Ex air'!T9</f>
        <v>4233.3924</v>
      </c>
      <c r="AA20">
        <f>'ASPEN Ex air'!U9</f>
        <v>94333.0886</v>
      </c>
      <c r="AB20">
        <f>'ASPEN Ex air'!V9</f>
        <v>90045.6531</v>
      </c>
      <c r="AD20">
        <f t="shared" si="43"/>
        <v>4233.3924</v>
      </c>
      <c r="AE20">
        <f>'ASPEN Ex air'!W9</f>
        <v>-393627.221</v>
      </c>
      <c r="AF20">
        <f>'ASPEN Ex air'!X9</f>
        <v>34583.0735</v>
      </c>
      <c r="AJ20">
        <f t="shared" si="1"/>
        <v>0</v>
      </c>
      <c r="AK20">
        <f t="shared" si="2"/>
        <v>211367881.83920002</v>
      </c>
      <c r="AL20">
        <f t="shared" si="3"/>
        <v>25678714.979200006</v>
      </c>
      <c r="AN20">
        <f t="shared" si="4"/>
        <v>0</v>
      </c>
      <c r="AO20">
        <f t="shared" si="5"/>
        <v>211.3678818392</v>
      </c>
      <c r="AP20">
        <f t="shared" si="6"/>
        <v>25.678714979200006</v>
      </c>
      <c r="AT20">
        <f t="shared" si="7"/>
        <v>0.8336999987451228</v>
      </c>
      <c r="AU20">
        <f t="shared" si="8"/>
        <v>0.5688000002275847</v>
      </c>
      <c r="AV20">
        <f t="shared" si="9"/>
        <v>4458.1845</v>
      </c>
      <c r="AW20">
        <f t="shared" si="10"/>
        <v>0</v>
      </c>
      <c r="AX20">
        <f t="shared" si="11"/>
        <v>0.07470384887410084</v>
      </c>
      <c r="AY20">
        <f t="shared" si="12"/>
        <v>0</v>
      </c>
      <c r="AZ20">
        <f t="shared" si="13"/>
        <v>73.93045050733028</v>
      </c>
      <c r="BA20">
        <f t="shared" si="14"/>
        <v>115.15784482076143</v>
      </c>
      <c r="BB20">
        <f t="shared" si="15"/>
        <v>7.943824339833897E-06</v>
      </c>
      <c r="BC20">
        <f t="shared" si="16"/>
        <v>136.6997601933518</v>
      </c>
      <c r="BE20">
        <f t="shared" si="17"/>
        <v>1.4024999989727074</v>
      </c>
      <c r="BF20">
        <f t="shared" si="18"/>
        <v>4458.1845</v>
      </c>
      <c r="BG20">
        <f t="shared" si="19"/>
        <v>325.86276731414193</v>
      </c>
      <c r="BI20" s="15">
        <f t="shared" si="44"/>
        <v>-0.3277360269583652</v>
      </c>
      <c r="BJ20" s="15">
        <f t="shared" si="45"/>
        <v>-0.1862206432400647</v>
      </c>
      <c r="BK20" s="15"/>
      <c r="BL20" s="15"/>
      <c r="BM20" s="15">
        <f t="shared" si="20"/>
        <v>-0.2350805199290491</v>
      </c>
      <c r="BN20" s="15"/>
      <c r="BO20" s="15">
        <f t="shared" si="21"/>
        <v>-0.36358709070079337</v>
      </c>
      <c r="BP20" s="15">
        <f t="shared" si="22"/>
        <v>-0.3645152217021783</v>
      </c>
      <c r="BQ20" s="15">
        <f t="shared" si="23"/>
        <v>-5.906461006475159E-06</v>
      </c>
      <c r="BR20" s="15">
        <f t="shared" si="24"/>
        <v>-0.2967936777368021</v>
      </c>
      <c r="BT20" s="15">
        <f t="shared" si="25"/>
        <v>-0.5139566701984299</v>
      </c>
      <c r="BU20" s="15">
        <f t="shared" si="26"/>
        <v>0</v>
      </c>
      <c r="BV20" s="15">
        <f t="shared" si="27"/>
        <v>-1.2599824165298295</v>
      </c>
      <c r="BX20">
        <f t="shared" si="46"/>
        <v>0.0083144</v>
      </c>
      <c r="BY20">
        <v>298.15</v>
      </c>
      <c r="CA20">
        <f t="shared" si="28"/>
        <v>0.12843309383995072</v>
      </c>
      <c r="CB20">
        <f t="shared" si="29"/>
        <v>4458.1845</v>
      </c>
      <c r="CC20">
        <f t="shared" si="30"/>
        <v>322.73934856888064</v>
      </c>
      <c r="CG20">
        <f t="shared" si="31"/>
        <v>0.12843309383995072</v>
      </c>
      <c r="CH20">
        <f t="shared" si="32"/>
        <v>4669.5523818392</v>
      </c>
      <c r="CI20">
        <f t="shared" si="33"/>
        <v>348.4180635480806</v>
      </c>
      <c r="CK20" s="27">
        <f t="shared" si="34"/>
        <v>0.8938998326311353</v>
      </c>
      <c r="CL20" s="27">
        <f t="shared" si="35"/>
        <v>6916.9488733807775</v>
      </c>
      <c r="CM20" s="27">
        <f t="shared" si="36"/>
        <v>45945.37883391716</v>
      </c>
      <c r="CO20">
        <f>'Ch-exr of biomass'!$E$34</f>
        <v>63893.67098902874</v>
      </c>
      <c r="CQ20" s="3">
        <v>0.2</v>
      </c>
      <c r="CS20" s="13">
        <f t="shared" si="47"/>
        <v>0.8273368446791526</v>
      </c>
      <c r="CT20" s="13">
        <f t="shared" si="48"/>
        <v>0.05789792604289137</v>
      </c>
      <c r="CU20" s="13">
        <f t="shared" si="49"/>
        <v>0.769439728641721</v>
      </c>
    </row>
    <row r="21" spans="5:99" ht="15">
      <c r="E21" s="12">
        <f t="shared" si="37"/>
        <v>0.20999999956825147</v>
      </c>
      <c r="F21" s="12">
        <f t="shared" si="38"/>
        <v>0.7900000004317486</v>
      </c>
      <c r="G21" s="14">
        <f t="shared" si="39"/>
        <v>1</v>
      </c>
      <c r="H21" s="14">
        <f>H7/($H$7+$I$7+$J$7+$K$7+$L$7+$M$7+$N$7)</f>
        <v>0</v>
      </c>
      <c r="I21" s="14">
        <f aca="true" t="shared" si="51" ref="I21:N21">I7/($H$7+$I$7+$J$7+$K$7+$L$7+$M$7+$N$7)</f>
        <v>0.12039696242107949</v>
      </c>
      <c r="J21" s="14">
        <f t="shared" si="51"/>
        <v>0</v>
      </c>
      <c r="K21" s="14">
        <f t="shared" si="51"/>
        <v>0.3098746812487127</v>
      </c>
      <c r="L21" s="14">
        <f t="shared" si="51"/>
        <v>0.41382831816608057</v>
      </c>
      <c r="M21" s="14">
        <f t="shared" si="51"/>
        <v>3.951631646283288E-07</v>
      </c>
      <c r="N21" s="14">
        <f t="shared" si="51"/>
        <v>0.15589964300096254</v>
      </c>
      <c r="O21" s="15">
        <f t="shared" si="41"/>
        <v>1</v>
      </c>
      <c r="P21">
        <f>'ASPEN Ex air'!O10</f>
        <v>-12532.7912</v>
      </c>
      <c r="Q21">
        <f>'ASPEN Ex air'!P10</f>
        <v>452803122</v>
      </c>
      <c r="R21">
        <f>'ASPEN Ex air'!Q10</f>
        <v>-15403651.6</v>
      </c>
      <c r="T21">
        <f t="shared" si="42"/>
        <v>-12532.7912</v>
      </c>
      <c r="U21">
        <f>'ASPEN Ex air'!R10</f>
        <v>95451286.2</v>
      </c>
      <c r="V21">
        <f>'ASPEN Ex air'!S10</f>
        <v>-57367978.4</v>
      </c>
      <c r="X21">
        <v>298</v>
      </c>
      <c r="Z21">
        <f>'ASPEN Ex air'!T10</f>
        <v>4233.3924</v>
      </c>
      <c r="AA21">
        <f>'ASPEN Ex air'!U10</f>
        <v>94728.8707</v>
      </c>
      <c r="AB21">
        <f>'ASPEN Ex air'!V10</f>
        <v>90094.1103</v>
      </c>
      <c r="AD21">
        <f t="shared" si="43"/>
        <v>4233.3924</v>
      </c>
      <c r="AE21">
        <f>'ASPEN Ex air'!W10</f>
        <v>-393627.56</v>
      </c>
      <c r="AF21">
        <f>'ASPEN Ex air'!X10</f>
        <v>34933.933</v>
      </c>
      <c r="AJ21">
        <f t="shared" si="1"/>
        <v>0</v>
      </c>
      <c r="AK21">
        <f t="shared" si="2"/>
        <v>211821619.4514</v>
      </c>
      <c r="AL21">
        <f t="shared" si="3"/>
        <v>25526593.964599997</v>
      </c>
      <c r="AN21">
        <f t="shared" si="4"/>
        <v>0</v>
      </c>
      <c r="AO21">
        <f t="shared" si="5"/>
        <v>211.8216194514</v>
      </c>
      <c r="AP21">
        <f t="shared" si="6"/>
        <v>25.526593964599996</v>
      </c>
      <c r="AT21">
        <f t="shared" si="7"/>
        <v>0.8336999982859583</v>
      </c>
      <c r="AU21">
        <f t="shared" si="8"/>
        <v>0.568800000310859</v>
      </c>
      <c r="AV21">
        <f t="shared" si="9"/>
        <v>4458.1845</v>
      </c>
      <c r="AW21">
        <f t="shared" si="10"/>
        <v>0</v>
      </c>
      <c r="AX21">
        <f t="shared" si="11"/>
        <v>0.08668581294317723</v>
      </c>
      <c r="AY21">
        <f t="shared" si="12"/>
        <v>0</v>
      </c>
      <c r="AZ21">
        <f t="shared" si="13"/>
        <v>73.16141224282107</v>
      </c>
      <c r="BA21">
        <f t="shared" si="14"/>
        <v>113.80692577885381</v>
      </c>
      <c r="BB21">
        <f t="shared" si="15"/>
        <v>7.828182291287193E-06</v>
      </c>
      <c r="BC21">
        <f t="shared" si="16"/>
        <v>129.6539381017505</v>
      </c>
      <c r="BE21">
        <f t="shared" si="17"/>
        <v>1.4024999985968174</v>
      </c>
      <c r="BF21">
        <f t="shared" si="18"/>
        <v>4458.1845</v>
      </c>
      <c r="BG21">
        <f t="shared" si="19"/>
        <v>316.70896976455083</v>
      </c>
      <c r="BI21" s="15">
        <f t="shared" si="44"/>
        <v>-0.3277360268935215</v>
      </c>
      <c r="BJ21" s="15">
        <f t="shared" si="45"/>
        <v>-0.18622064315166942</v>
      </c>
      <c r="BK21" s="15"/>
      <c r="BL21" s="15"/>
      <c r="BM21" s="15">
        <f t="shared" si="20"/>
        <v>-0.25487567101253705</v>
      </c>
      <c r="BN21" s="15"/>
      <c r="BO21" s="15">
        <f t="shared" si="21"/>
        <v>-0.3630452464947099</v>
      </c>
      <c r="BP21" s="15">
        <f t="shared" si="22"/>
        <v>-0.3651224141932932</v>
      </c>
      <c r="BQ21" s="15">
        <f t="shared" si="23"/>
        <v>-5.826272691428979E-06</v>
      </c>
      <c r="BR21" s="15">
        <f t="shared" si="24"/>
        <v>-0.2897461579064376</v>
      </c>
      <c r="BT21" s="15">
        <f t="shared" si="25"/>
        <v>-0.513956670045191</v>
      </c>
      <c r="BU21" s="15">
        <f t="shared" si="26"/>
        <v>0</v>
      </c>
      <c r="BV21" s="15">
        <f t="shared" si="27"/>
        <v>-1.272795315879669</v>
      </c>
      <c r="BX21">
        <f t="shared" si="46"/>
        <v>0.0083144</v>
      </c>
      <c r="BY21">
        <v>298.15</v>
      </c>
      <c r="CA21">
        <f t="shared" si="28"/>
        <v>0.12843309384393065</v>
      </c>
      <c r="CB21">
        <f t="shared" si="29"/>
        <v>4458.1845</v>
      </c>
      <c r="CC21">
        <f t="shared" si="30"/>
        <v>313.5537886315884</v>
      </c>
      <c r="CG21">
        <f t="shared" si="31"/>
        <v>0.12843309384393065</v>
      </c>
      <c r="CH21">
        <f t="shared" si="32"/>
        <v>4670.0061194514</v>
      </c>
      <c r="CI21">
        <f t="shared" si="33"/>
        <v>339.08038259618843</v>
      </c>
      <c r="CK21" s="27">
        <f t="shared" si="34"/>
        <v>1.338623903294125</v>
      </c>
      <c r="CL21" s="27">
        <f t="shared" si="35"/>
        <v>6258.597384399002</v>
      </c>
      <c r="CM21" s="27">
        <f t="shared" si="36"/>
        <v>46436.45568689603</v>
      </c>
      <c r="CO21">
        <f>'Ch-exr of biomass'!$E$34</f>
        <v>63893.67098902874</v>
      </c>
      <c r="CQ21" s="3">
        <v>0.3</v>
      </c>
      <c r="CS21" s="13">
        <f t="shared" si="47"/>
        <v>0.8247131253366274</v>
      </c>
      <c r="CT21" s="13">
        <f t="shared" si="48"/>
        <v>0.0591560694143209</v>
      </c>
      <c r="CU21" s="13">
        <f t="shared" si="49"/>
        <v>0.7655582952636734</v>
      </c>
    </row>
    <row r="22" spans="5:99" ht="15">
      <c r="E22" s="12">
        <f t="shared" si="37"/>
        <v>0.21000000053293297</v>
      </c>
      <c r="F22" s="12">
        <f t="shared" si="38"/>
        <v>0.7899999994670671</v>
      </c>
      <c r="G22" s="14">
        <f t="shared" si="39"/>
        <v>1</v>
      </c>
      <c r="H22" s="14">
        <f>H8/($H$8+$I$8+$J$8+$K$8+$L$8+$M$8+$N$8)</f>
        <v>0</v>
      </c>
      <c r="I22" s="14">
        <f aca="true" t="shared" si="52" ref="I22:N22">I8/($H$8+$I$8+$J$8+$K$8+$L$8+$M$8+$N$8)</f>
        <v>0.13585126314776105</v>
      </c>
      <c r="J22" s="14">
        <f t="shared" si="52"/>
        <v>0</v>
      </c>
      <c r="K22" s="14">
        <f t="shared" si="52"/>
        <v>0.3068173065013965</v>
      </c>
      <c r="L22" s="14">
        <f t="shared" si="52"/>
        <v>0.4092722423154581</v>
      </c>
      <c r="M22" s="14">
        <f t="shared" si="52"/>
        <v>3.898548656349948E-07</v>
      </c>
      <c r="N22" s="14">
        <f t="shared" si="52"/>
        <v>0.14805879818051879</v>
      </c>
      <c r="O22" s="15">
        <f t="shared" si="41"/>
        <v>1</v>
      </c>
      <c r="P22">
        <f>'ASPEN Ex air'!O11</f>
        <v>-12532.7912</v>
      </c>
      <c r="Q22">
        <f>'ASPEN Ex air'!P11</f>
        <v>453374219</v>
      </c>
      <c r="R22">
        <f>'ASPEN Ex air'!Q11</f>
        <v>-14535864.9</v>
      </c>
      <c r="T22">
        <f t="shared" si="42"/>
        <v>-12532.7912</v>
      </c>
      <c r="U22">
        <f>'ASPEN Ex air'!R11</f>
        <v>95451519.8</v>
      </c>
      <c r="V22">
        <f>'ASPEN Ex air'!S11</f>
        <v>-56280056.8</v>
      </c>
      <c r="X22">
        <v>298</v>
      </c>
      <c r="Z22">
        <f>'ASPEN Ex air'!T11</f>
        <v>4233.3924</v>
      </c>
      <c r="AA22">
        <f>'ASPEN Ex air'!U11</f>
        <v>95123.7127</v>
      </c>
      <c r="AB22">
        <f>'ASPEN Ex air'!V11</f>
        <v>90119.9871</v>
      </c>
      <c r="AD22">
        <f t="shared" si="43"/>
        <v>4233.3924</v>
      </c>
      <c r="AE22">
        <f>'ASPEN Ex air'!W11</f>
        <v>-393627.686</v>
      </c>
      <c r="AF22">
        <f>'ASPEN Ex air'!X11</f>
        <v>35236.9068</v>
      </c>
      <c r="AJ22">
        <f t="shared" si="1"/>
        <v>0</v>
      </c>
      <c r="AK22">
        <f t="shared" si="2"/>
        <v>212274782.38739997</v>
      </c>
      <c r="AL22">
        <f t="shared" si="3"/>
        <v>25389033.970599998</v>
      </c>
      <c r="AN22">
        <f t="shared" si="4"/>
        <v>0</v>
      </c>
      <c r="AO22">
        <f t="shared" si="5"/>
        <v>212.27478238739997</v>
      </c>
      <c r="AP22">
        <f t="shared" si="6"/>
        <v>25.389033970599996</v>
      </c>
      <c r="AT22">
        <f t="shared" si="7"/>
        <v>0.8337000021157439</v>
      </c>
      <c r="AU22">
        <f t="shared" si="8"/>
        <v>0.5687999996162884</v>
      </c>
      <c r="AV22">
        <f t="shared" si="9"/>
        <v>4458.1845</v>
      </c>
      <c r="AW22">
        <f t="shared" si="10"/>
        <v>0</v>
      </c>
      <c r="AX22">
        <f t="shared" si="11"/>
        <v>0.09781290946638796</v>
      </c>
      <c r="AY22">
        <f t="shared" si="12"/>
        <v>0</v>
      </c>
      <c r="AZ22">
        <f t="shared" si="13"/>
        <v>72.43956606497972</v>
      </c>
      <c r="BA22">
        <f t="shared" si="14"/>
        <v>112.55395935917413</v>
      </c>
      <c r="BB22">
        <f t="shared" si="15"/>
        <v>7.723024888229246E-06</v>
      </c>
      <c r="BC22">
        <f t="shared" si="16"/>
        <v>123.13309950682844</v>
      </c>
      <c r="BE22">
        <f t="shared" si="17"/>
        <v>1.4025000017320322</v>
      </c>
      <c r="BF22">
        <f t="shared" si="18"/>
        <v>4458.1845</v>
      </c>
      <c r="BG22">
        <f t="shared" si="19"/>
        <v>308.2244455634735</v>
      </c>
      <c r="BI22" s="15">
        <f t="shared" si="44"/>
        <v>-0.327736027434368</v>
      </c>
      <c r="BJ22" s="15">
        <f t="shared" si="45"/>
        <v>-0.1862206438889539</v>
      </c>
      <c r="BK22" s="15"/>
      <c r="BL22" s="15"/>
      <c r="BM22" s="15">
        <f t="shared" si="20"/>
        <v>-0.2711855640183715</v>
      </c>
      <c r="BN22" s="15"/>
      <c r="BO22" s="15">
        <f t="shared" si="21"/>
        <v>-0.36250550713783053</v>
      </c>
      <c r="BP22" s="15">
        <f t="shared" si="22"/>
        <v>-0.36563347293379994</v>
      </c>
      <c r="BQ22" s="15">
        <f t="shared" si="23"/>
        <v>-5.753279790397839E-06</v>
      </c>
      <c r="BR22" s="15">
        <f t="shared" si="24"/>
        <v>-0.28281389136598695</v>
      </c>
      <c r="BT22" s="15">
        <f t="shared" si="25"/>
        <v>-0.5139566713233219</v>
      </c>
      <c r="BU22" s="15">
        <f t="shared" si="26"/>
        <v>0</v>
      </c>
      <c r="BV22" s="15">
        <f t="shared" si="27"/>
        <v>-1.2821441887357794</v>
      </c>
      <c r="BX22">
        <f t="shared" si="46"/>
        <v>0.0083144</v>
      </c>
      <c r="BY22">
        <v>298.15</v>
      </c>
      <c r="CA22">
        <f t="shared" si="28"/>
        <v>0.12843309381073764</v>
      </c>
      <c r="CB22">
        <f t="shared" si="29"/>
        <v>4458.1845</v>
      </c>
      <c r="CC22">
        <f t="shared" si="30"/>
        <v>305.0460891509653</v>
      </c>
      <c r="CG22">
        <f t="shared" si="31"/>
        <v>0.12843309381073764</v>
      </c>
      <c r="CH22">
        <f t="shared" si="32"/>
        <v>4670.4592823874</v>
      </c>
      <c r="CI22">
        <f t="shared" si="33"/>
        <v>330.4351231215653</v>
      </c>
      <c r="CK22" s="27">
        <f t="shared" si="34"/>
        <v>1.7833479708998534</v>
      </c>
      <c r="CL22" s="27">
        <f t="shared" si="35"/>
        <v>5598.1615302252385</v>
      </c>
      <c r="CM22" s="27">
        <f t="shared" si="36"/>
        <v>46930.45809085459</v>
      </c>
      <c r="CO22">
        <f>'Ch-exr of biomass'!$E$34</f>
        <v>63893.67098902874</v>
      </c>
      <c r="CQ22" s="3">
        <v>0.4</v>
      </c>
      <c r="CS22" s="13">
        <f t="shared" si="47"/>
        <v>0.8221026075506334</v>
      </c>
      <c r="CT22" s="13">
        <f t="shared" si="48"/>
        <v>0.06041832155529138</v>
      </c>
      <c r="CU22" s="13">
        <f t="shared" si="49"/>
        <v>0.7616859722951308</v>
      </c>
    </row>
    <row r="23" spans="5:99" ht="15">
      <c r="E23" s="12">
        <f t="shared" si="37"/>
        <v>0.21000000029398008</v>
      </c>
      <c r="F23" s="12">
        <f t="shared" si="38"/>
        <v>0.78999999970602</v>
      </c>
      <c r="G23" s="14">
        <f t="shared" si="39"/>
        <v>1</v>
      </c>
      <c r="H23" s="14">
        <f>H9/($H$9+$I$9+$J$9+$K$9+$L$9+$M$9+$N$9)</f>
        <v>0</v>
      </c>
      <c r="I23" s="14">
        <f aca="true" t="shared" si="53" ref="I23:N23">I9/($H$9+$I$9+$J$9+$K$9+$L$9+$M$9+$N$9)</f>
        <v>0.150236588428432</v>
      </c>
      <c r="J23" s="14">
        <f t="shared" si="53"/>
        <v>0</v>
      </c>
      <c r="K23" s="14">
        <f t="shared" si="53"/>
        <v>0.3039917331301487</v>
      </c>
      <c r="L23" s="14">
        <f t="shared" si="53"/>
        <v>0.40502773552828847</v>
      </c>
      <c r="M23" s="14">
        <f t="shared" si="53"/>
        <v>3.854349750339771E-07</v>
      </c>
      <c r="N23" s="14">
        <f t="shared" si="53"/>
        <v>0.1407435574781558</v>
      </c>
      <c r="O23" s="15">
        <f t="shared" si="41"/>
        <v>1</v>
      </c>
      <c r="P23">
        <f>'ASPEN Ex air'!O12</f>
        <v>-12532.7912</v>
      </c>
      <c r="Q23">
        <f>'ASPEN Ex air'!P12</f>
        <v>453932674</v>
      </c>
      <c r="R23">
        <f>'ASPEN Ex air'!Q12</f>
        <v>-13724962.7</v>
      </c>
      <c r="T23">
        <f t="shared" si="42"/>
        <v>-12532.7912</v>
      </c>
      <c r="U23">
        <f>'ASPEN Ex air'!R12</f>
        <v>95451407.1</v>
      </c>
      <c r="V23">
        <f>'ASPEN Ex air'!S12</f>
        <v>-55265743.8</v>
      </c>
      <c r="X23">
        <v>298</v>
      </c>
      <c r="Z23">
        <f>'ASPEN Ex air'!T12</f>
        <v>4233.3924</v>
      </c>
      <c r="AA23">
        <f>'ASPEN Ex air'!U12</f>
        <v>95509.7398</v>
      </c>
      <c r="AB23">
        <f>'ASPEN Ex air'!V12</f>
        <v>90128.7974</v>
      </c>
      <c r="AD23">
        <f t="shared" si="43"/>
        <v>4233.3924</v>
      </c>
      <c r="AE23">
        <f>'ASPEN Ex air'!W12</f>
        <v>-393627.625</v>
      </c>
      <c r="AF23">
        <f>'ASPEN Ex air'!X12</f>
        <v>35502.9528</v>
      </c>
      <c r="AJ23">
        <f t="shared" si="1"/>
        <v>0</v>
      </c>
      <c r="AK23">
        <f t="shared" si="2"/>
        <v>212718332.1896</v>
      </c>
      <c r="AL23">
        <f t="shared" si="3"/>
        <v>25262279.409199998</v>
      </c>
      <c r="AN23">
        <f t="shared" si="4"/>
        <v>0</v>
      </c>
      <c r="AO23">
        <f t="shared" si="5"/>
        <v>212.71833218959998</v>
      </c>
      <c r="AP23">
        <f t="shared" si="6"/>
        <v>25.262279409199998</v>
      </c>
      <c r="AT23">
        <f t="shared" si="7"/>
        <v>0.833700001167101</v>
      </c>
      <c r="AU23">
        <f t="shared" si="8"/>
        <v>0.5687999997883344</v>
      </c>
      <c r="AV23">
        <f t="shared" si="9"/>
        <v>4458.1845</v>
      </c>
      <c r="AW23">
        <f t="shared" si="10"/>
        <v>0</v>
      </c>
      <c r="AX23">
        <f t="shared" si="11"/>
        <v>0.10817034366847103</v>
      </c>
      <c r="AY23">
        <f t="shared" si="12"/>
        <v>0</v>
      </c>
      <c r="AZ23">
        <f t="shared" si="13"/>
        <v>71.77244819202811</v>
      </c>
      <c r="BA23">
        <f t="shared" si="14"/>
        <v>111.3866775476346</v>
      </c>
      <c r="BB23">
        <f t="shared" si="15"/>
        <v>7.635466855423087E-06</v>
      </c>
      <c r="BC23">
        <f t="shared" si="16"/>
        <v>117.04937957670828</v>
      </c>
      <c r="BE23">
        <f t="shared" si="17"/>
        <v>1.4025000009554354</v>
      </c>
      <c r="BF23">
        <f t="shared" si="18"/>
        <v>4458.1845</v>
      </c>
      <c r="BG23">
        <f t="shared" si="19"/>
        <v>300.3166832955063</v>
      </c>
      <c r="BI23" s="15">
        <f t="shared" si="44"/>
        <v>-0.32773602730039963</v>
      </c>
      <c r="BJ23" s="15">
        <f t="shared" si="45"/>
        <v>-0.18622064370632757</v>
      </c>
      <c r="BK23" s="15"/>
      <c r="BL23" s="15"/>
      <c r="BM23" s="15">
        <f t="shared" si="20"/>
        <v>-0.28478005945795737</v>
      </c>
      <c r="BN23" s="15"/>
      <c r="BO23" s="15">
        <f t="shared" si="21"/>
        <v>-0.36197960675061314</v>
      </c>
      <c r="BP23" s="15">
        <f t="shared" si="22"/>
        <v>-0.36606395859400676</v>
      </c>
      <c r="BQ23" s="15">
        <f t="shared" si="23"/>
        <v>-5.692448033903472E-06</v>
      </c>
      <c r="BR23" s="15">
        <f t="shared" si="24"/>
        <v>-0.27597218925446126</v>
      </c>
      <c r="BT23" s="15">
        <f t="shared" si="25"/>
        <v>-0.5139566710067272</v>
      </c>
      <c r="BU23" s="15">
        <f t="shared" si="26"/>
        <v>0</v>
      </c>
      <c r="BV23" s="15">
        <f t="shared" si="27"/>
        <v>-1.2888015065050724</v>
      </c>
      <c r="BX23">
        <f t="shared" si="46"/>
        <v>0.0083144</v>
      </c>
      <c r="BY23">
        <v>298.15</v>
      </c>
      <c r="CA23">
        <f t="shared" si="28"/>
        <v>0.12843309381895973</v>
      </c>
      <c r="CB23">
        <f t="shared" si="29"/>
        <v>4458.1845</v>
      </c>
      <c r="CC23">
        <f t="shared" si="30"/>
        <v>297.1218238026051</v>
      </c>
      <c r="CG23">
        <f t="shared" si="31"/>
        <v>0.12843309381895973</v>
      </c>
      <c r="CH23">
        <f t="shared" si="32"/>
        <v>4670.9028321896</v>
      </c>
      <c r="CI23">
        <f t="shared" si="33"/>
        <v>322.3841032118051</v>
      </c>
      <c r="CK23" s="27">
        <f t="shared" si="34"/>
        <v>2.2280720415628434</v>
      </c>
      <c r="CL23" s="27">
        <f t="shared" si="35"/>
        <v>4938.844035165042</v>
      </c>
      <c r="CM23" s="27">
        <f t="shared" si="36"/>
        <v>47424.421565976074</v>
      </c>
      <c r="CO23">
        <f>'Ch-exr of biomass'!$E$34</f>
        <v>63893.67098902874</v>
      </c>
      <c r="CQ23" s="3">
        <v>0.5</v>
      </c>
      <c r="CS23" s="13">
        <f t="shared" si="47"/>
        <v>0.8195090196804876</v>
      </c>
      <c r="CT23" s="13">
        <f t="shared" si="48"/>
        <v>0.06168274110274649</v>
      </c>
      <c r="CU23" s="13">
        <f t="shared" si="49"/>
        <v>0.7578284294762012</v>
      </c>
    </row>
    <row r="24" spans="5:99" ht="15">
      <c r="E24" s="12">
        <f t="shared" si="37"/>
        <v>0.21000000013454548</v>
      </c>
      <c r="F24" s="12">
        <f t="shared" si="38"/>
        <v>0.7899999998654545</v>
      </c>
      <c r="G24" s="14">
        <f t="shared" si="39"/>
        <v>1</v>
      </c>
      <c r="H24" s="14">
        <f>H10/($H$10+$I$10+$J$10+$K$10+$L$10+$M$10+$N$10)</f>
        <v>0</v>
      </c>
      <c r="I24" s="14">
        <f aca="true" t="shared" si="54" ref="I24:N24">I10/($H$10+$I$10+$J$10+$K$10+$L$10+$M$10+$N$10)</f>
        <v>0.1636547563276217</v>
      </c>
      <c r="J24" s="14">
        <f t="shared" si="54"/>
        <v>0</v>
      </c>
      <c r="K24" s="14">
        <f t="shared" si="54"/>
        <v>0.30142277745218776</v>
      </c>
      <c r="L24" s="14">
        <f t="shared" si="54"/>
        <v>0.40105687999366924</v>
      </c>
      <c r="M24" s="14">
        <f t="shared" si="54"/>
        <v>3.82220869122538E-07</v>
      </c>
      <c r="N24" s="14">
        <f t="shared" si="54"/>
        <v>0.13386520400565238</v>
      </c>
      <c r="O24" s="15">
        <f t="shared" si="41"/>
        <v>1.0000000000000002</v>
      </c>
      <c r="P24">
        <f>'ASPEN Ex air'!O13</f>
        <v>-12532.7912</v>
      </c>
      <c r="Q24">
        <f>'ASPEN Ex air'!P13</f>
        <v>454467941</v>
      </c>
      <c r="R24">
        <f>'ASPEN Ex air'!Q13</f>
        <v>-12964739.9</v>
      </c>
      <c r="T24">
        <f t="shared" si="42"/>
        <v>-12532.7912</v>
      </c>
      <c r="U24">
        <f>'ASPEN Ex air'!R13</f>
        <v>95450948.4</v>
      </c>
      <c r="V24">
        <f>'ASPEN Ex air'!S13</f>
        <v>-54314236.2</v>
      </c>
      <c r="X24">
        <v>298</v>
      </c>
      <c r="Z24">
        <f>'ASPEN Ex air'!T13</f>
        <v>4233.3924</v>
      </c>
      <c r="AA24">
        <f>'ASPEN Ex air'!U13</f>
        <v>95879.708</v>
      </c>
      <c r="AB24">
        <f>'ASPEN Ex air'!V13</f>
        <v>90124.2635</v>
      </c>
      <c r="AD24">
        <f t="shared" si="43"/>
        <v>4233.3924</v>
      </c>
      <c r="AE24">
        <f>'ASPEN Ex air'!W13</f>
        <v>-393627.378</v>
      </c>
      <c r="AF24">
        <f>'ASPEN Ex air'!X13</f>
        <v>35740.4152</v>
      </c>
      <c r="AJ24">
        <f t="shared" si="1"/>
        <v>0</v>
      </c>
      <c r="AK24">
        <f t="shared" si="2"/>
        <v>213143880.97200003</v>
      </c>
      <c r="AL24">
        <f t="shared" si="3"/>
        <v>25143109.506600007</v>
      </c>
      <c r="AN24">
        <f t="shared" si="4"/>
        <v>0</v>
      </c>
      <c r="AO24">
        <f t="shared" si="5"/>
        <v>213.14388097200003</v>
      </c>
      <c r="AP24">
        <f t="shared" si="6"/>
        <v>25.14310950660001</v>
      </c>
      <c r="AT24">
        <f t="shared" si="7"/>
        <v>0.8337000005341456</v>
      </c>
      <c r="AU24">
        <f t="shared" si="8"/>
        <v>0.5687999999031272</v>
      </c>
      <c r="AV24">
        <f t="shared" si="9"/>
        <v>4458.1845</v>
      </c>
      <c r="AW24">
        <f t="shared" si="10"/>
        <v>0</v>
      </c>
      <c r="AX24">
        <f t="shared" si="11"/>
        <v>0.11783142455588762</v>
      </c>
      <c r="AY24">
        <f t="shared" si="12"/>
        <v>0</v>
      </c>
      <c r="AZ24">
        <f t="shared" si="13"/>
        <v>71.16591775646152</v>
      </c>
      <c r="BA24">
        <f t="shared" si="14"/>
        <v>110.29465256705898</v>
      </c>
      <c r="BB24">
        <f t="shared" si="15"/>
        <v>7.571795417317477E-06</v>
      </c>
      <c r="BC24">
        <f t="shared" si="16"/>
        <v>111.3289969113008</v>
      </c>
      <c r="BE24">
        <f t="shared" si="17"/>
        <v>1.4025000004372727</v>
      </c>
      <c r="BF24">
        <f t="shared" si="18"/>
        <v>4458.1845</v>
      </c>
      <c r="BG24">
        <f t="shared" si="19"/>
        <v>292.90740623117256</v>
      </c>
      <c r="BI24" s="15">
        <f t="shared" si="44"/>
        <v>-0.32773602721101297</v>
      </c>
      <c r="BJ24" s="15">
        <f t="shared" si="45"/>
        <v>-0.1862206435844753</v>
      </c>
      <c r="BK24" s="15"/>
      <c r="BL24" s="15"/>
      <c r="BM24" s="15">
        <f t="shared" si="20"/>
        <v>-0.296214489426905</v>
      </c>
      <c r="BN24" s="15"/>
      <c r="BO24" s="15">
        <f t="shared" si="21"/>
        <v>-0.36147868069945266</v>
      </c>
      <c r="BP24" s="15">
        <f t="shared" si="22"/>
        <v>-0.36642642708284057</v>
      </c>
      <c r="BQ24" s="15">
        <f t="shared" si="23"/>
        <v>-5.648179913971852E-06</v>
      </c>
      <c r="BR24" s="15">
        <f t="shared" si="24"/>
        <v>-0.2691924738078775</v>
      </c>
      <c r="BT24" s="15">
        <f t="shared" si="25"/>
        <v>-0.5139566707954882</v>
      </c>
      <c r="BU24" s="15">
        <f t="shared" si="26"/>
        <v>0</v>
      </c>
      <c r="BV24" s="15">
        <f t="shared" si="27"/>
        <v>-1.2933177191969898</v>
      </c>
      <c r="BX24">
        <f t="shared" si="46"/>
        <v>0.0083144</v>
      </c>
      <c r="BY24">
        <v>298.15</v>
      </c>
      <c r="CA24">
        <f t="shared" si="28"/>
        <v>0.12843309382444534</v>
      </c>
      <c r="CB24">
        <f t="shared" si="29"/>
        <v>4458.1845</v>
      </c>
      <c r="CC24">
        <f t="shared" si="30"/>
        <v>289.7013513253874</v>
      </c>
      <c r="CG24">
        <f t="shared" si="31"/>
        <v>0.12843309382444534</v>
      </c>
      <c r="CH24">
        <f t="shared" si="32"/>
        <v>4671.328380972001</v>
      </c>
      <c r="CI24">
        <f t="shared" si="33"/>
        <v>314.8444608319874</v>
      </c>
      <c r="CK24" s="27">
        <f t="shared" si="34"/>
        <v>2.6727961122258264</v>
      </c>
      <c r="CL24" s="27">
        <f t="shared" si="35"/>
        <v>4283.662228676632</v>
      </c>
      <c r="CM24" s="27">
        <f t="shared" si="36"/>
        <v>47915.578516802045</v>
      </c>
      <c r="CO24">
        <f>'Ch-exr of biomass'!$E$34</f>
        <v>63893.67098902874</v>
      </c>
      <c r="CQ24" s="3">
        <v>0.6</v>
      </c>
      <c r="CS24" s="13">
        <f t="shared" si="47"/>
        <v>0.8169362697966697</v>
      </c>
      <c r="CT24" s="13">
        <f t="shared" si="48"/>
        <v>0.06294735092786603</v>
      </c>
      <c r="CU24" s="13">
        <f t="shared" si="49"/>
        <v>0.7539915519683656</v>
      </c>
    </row>
    <row r="25" spans="5:99" ht="15">
      <c r="E25" s="12">
        <f t="shared" si="37"/>
        <v>0.21000000002059857</v>
      </c>
      <c r="F25" s="12">
        <f t="shared" si="38"/>
        <v>0.7899999999794014</v>
      </c>
      <c r="G25" s="14">
        <f t="shared" si="39"/>
        <v>1</v>
      </c>
      <c r="H25" s="14">
        <f>H11/($H$11+$I$11+$J$11+$K$11+$L$11+$M$11+$N$11)</f>
        <v>0</v>
      </c>
      <c r="I25" s="14">
        <f aca="true" t="shared" si="55" ref="I25:N25">I11/($H$11+$I$11+$J$11+$K$11+$L$11+$M$11+$N$11)</f>
        <v>0.17619306669020854</v>
      </c>
      <c r="J25" s="14">
        <f t="shared" si="55"/>
        <v>0</v>
      </c>
      <c r="K25" s="14">
        <f t="shared" si="55"/>
        <v>0.29913761810623524</v>
      </c>
      <c r="L25" s="14">
        <f t="shared" si="55"/>
        <v>0.3973261297012339</v>
      </c>
      <c r="M25" s="14">
        <f t="shared" si="55"/>
        <v>3.8056602419997866E-07</v>
      </c>
      <c r="N25" s="14">
        <f t="shared" si="55"/>
        <v>0.1273428049362981</v>
      </c>
      <c r="O25" s="15">
        <f t="shared" si="41"/>
        <v>1</v>
      </c>
      <c r="P25">
        <f>'ASPEN Ex air'!O14</f>
        <v>-12532.7912</v>
      </c>
      <c r="Q25">
        <f>'ASPEN Ex air'!P14</f>
        <v>454968604</v>
      </c>
      <c r="R25">
        <f>'ASPEN Ex air'!Q14</f>
        <v>-12249854.1</v>
      </c>
      <c r="T25">
        <f t="shared" si="42"/>
        <v>-12532.7912</v>
      </c>
      <c r="U25">
        <f>'ASPEN Ex air'!R14</f>
        <v>95450100.3</v>
      </c>
      <c r="V25">
        <f>'ASPEN Ex air'!S14</f>
        <v>-53415794</v>
      </c>
      <c r="X25">
        <v>298</v>
      </c>
      <c r="Z25">
        <f>'ASPEN Ex air'!T14</f>
        <v>4233.3924</v>
      </c>
      <c r="AA25">
        <f>'ASPEN Ex air'!U14</f>
        <v>96225.8525</v>
      </c>
      <c r="AB25">
        <f>'ASPEN Ex air'!V14</f>
        <v>90108.8687</v>
      </c>
      <c r="AD25">
        <f t="shared" si="43"/>
        <v>4233.3924</v>
      </c>
      <c r="AE25">
        <f>'ASPEN Ex air'!W14</f>
        <v>-393626.921</v>
      </c>
      <c r="AF25">
        <f>'ASPEN Ex air'!X14</f>
        <v>35956.1324</v>
      </c>
      <c r="AJ25">
        <f t="shared" si="1"/>
        <v>0</v>
      </c>
      <c r="AK25">
        <f t="shared" si="2"/>
        <v>213542377.197</v>
      </c>
      <c r="AL25">
        <f t="shared" si="3"/>
        <v>25028424.482599996</v>
      </c>
      <c r="AN25">
        <f t="shared" si="4"/>
        <v>0</v>
      </c>
      <c r="AO25">
        <f t="shared" si="5"/>
        <v>213.542377197</v>
      </c>
      <c r="AP25">
        <f t="shared" si="6"/>
        <v>25.028424482599995</v>
      </c>
      <c r="AT25">
        <f t="shared" si="7"/>
        <v>0.8337000000817764</v>
      </c>
      <c r="AU25">
        <f t="shared" si="8"/>
        <v>0.568799999985169</v>
      </c>
      <c r="AV25">
        <f t="shared" si="9"/>
        <v>4458.1845</v>
      </c>
      <c r="AW25">
        <f t="shared" si="10"/>
        <v>0</v>
      </c>
      <c r="AX25">
        <f t="shared" si="11"/>
        <v>0.12685900801695013</v>
      </c>
      <c r="AY25">
        <f t="shared" si="12"/>
        <v>0</v>
      </c>
      <c r="AZ25">
        <f t="shared" si="13"/>
        <v>70.62639163488214</v>
      </c>
      <c r="BA25">
        <f t="shared" si="14"/>
        <v>109.26865892913632</v>
      </c>
      <c r="BB25">
        <f t="shared" si="15"/>
        <v>7.539012939401576E-06</v>
      </c>
      <c r="BC25">
        <f t="shared" si="16"/>
        <v>105.90464372527231</v>
      </c>
      <c r="BE25">
        <f t="shared" si="17"/>
        <v>1.4025000000669454</v>
      </c>
      <c r="BF25">
        <f t="shared" si="18"/>
        <v>4458.1845</v>
      </c>
      <c r="BG25">
        <f t="shared" si="19"/>
        <v>285.9265608363206</v>
      </c>
      <c r="BI25" s="15">
        <f t="shared" si="44"/>
        <v>-0.3277360271471289</v>
      </c>
      <c r="BJ25" s="15">
        <f t="shared" si="45"/>
        <v>-0.18622064349738826</v>
      </c>
      <c r="BK25" s="15"/>
      <c r="BL25" s="15"/>
      <c r="BM25" s="15">
        <f t="shared" si="20"/>
        <v>-0.3059019826452507</v>
      </c>
      <c r="BN25" s="15"/>
      <c r="BO25" s="15">
        <f t="shared" si="21"/>
        <v>-0.3610146981508863</v>
      </c>
      <c r="BP25" s="15">
        <f t="shared" si="22"/>
        <v>-0.3667311635170408</v>
      </c>
      <c r="BQ25" s="15">
        <f t="shared" si="23"/>
        <v>-5.625377085743193E-06</v>
      </c>
      <c r="BR25" s="15">
        <f t="shared" si="24"/>
        <v>-0.26243729463432963</v>
      </c>
      <c r="BT25" s="15">
        <f t="shared" si="25"/>
        <v>-0.5139566706445171</v>
      </c>
      <c r="BU25" s="15">
        <f t="shared" si="26"/>
        <v>0</v>
      </c>
      <c r="BV25" s="15">
        <f t="shared" si="27"/>
        <v>-1.2960907643245931</v>
      </c>
      <c r="BX25">
        <f t="shared" si="46"/>
        <v>0.0083144</v>
      </c>
      <c r="BY25">
        <v>298.15</v>
      </c>
      <c r="CA25">
        <f t="shared" si="28"/>
        <v>0.12843309382836599</v>
      </c>
      <c r="CB25">
        <f t="shared" si="29"/>
        <v>4458.1845</v>
      </c>
      <c r="CC25">
        <f t="shared" si="30"/>
        <v>282.71363172259464</v>
      </c>
      <c r="CG25">
        <f t="shared" si="31"/>
        <v>0.12843309382836599</v>
      </c>
      <c r="CH25">
        <f t="shared" si="32"/>
        <v>4671.726877197</v>
      </c>
      <c r="CI25">
        <f t="shared" si="33"/>
        <v>307.7420562051946</v>
      </c>
      <c r="CK25" s="27">
        <f t="shared" si="34"/>
        <v>3.117520182888812</v>
      </c>
      <c r="CL25" s="27">
        <f t="shared" si="35"/>
        <v>3635.991167508781</v>
      </c>
      <c r="CM25" s="27">
        <f t="shared" si="36"/>
        <v>48400.87199529542</v>
      </c>
      <c r="CO25">
        <f>'Ch-exr of biomass'!$E$34</f>
        <v>63893.67098902874</v>
      </c>
      <c r="CQ25" s="3">
        <v>0.7</v>
      </c>
      <c r="CS25" s="13">
        <f t="shared" si="47"/>
        <v>0.8143893359413885</v>
      </c>
      <c r="CT25" s="13">
        <f t="shared" si="48"/>
        <v>0.06420988163316009</v>
      </c>
      <c r="CU25" s="13">
        <f t="shared" si="49"/>
        <v>0.7501825871042046</v>
      </c>
    </row>
    <row r="26" spans="5:99" ht="15">
      <c r="E26" s="12">
        <f t="shared" si="37"/>
        <v>0.20999999993510282</v>
      </c>
      <c r="F26" s="12">
        <f t="shared" si="38"/>
        <v>0.7900000000648971</v>
      </c>
      <c r="G26" s="14">
        <f t="shared" si="39"/>
        <v>1</v>
      </c>
      <c r="H26" s="14">
        <f>H12/($H$12+$I$12+$J$12+$K$12+$L$12+$M$12+$N$12)</f>
        <v>0</v>
      </c>
      <c r="I26" s="14">
        <f aca="true" t="shared" si="56" ref="I26:N26">I12/($H$12+$I$12+$J$12+$K$12+$L$12+$M$12+$N$12)</f>
        <v>0.18792570276286194</v>
      </c>
      <c r="J26" s="14">
        <f t="shared" si="56"/>
        <v>0</v>
      </c>
      <c r="K26" s="14">
        <f t="shared" si="56"/>
        <v>0.2971733945465883</v>
      </c>
      <c r="L26" s="14">
        <f t="shared" si="56"/>
        <v>0.3938045072793751</v>
      </c>
      <c r="M26" s="14">
        <f t="shared" si="56"/>
        <v>3.8094493740862197E-07</v>
      </c>
      <c r="N26" s="14">
        <f t="shared" si="56"/>
        <v>0.12109601446623723</v>
      </c>
      <c r="O26" s="15">
        <f t="shared" si="41"/>
        <v>0.9999999999999999</v>
      </c>
      <c r="P26">
        <f>'ASPEN Ex air'!O15</f>
        <v>-12532.7912</v>
      </c>
      <c r="Q26">
        <f>'ASPEN Ex air'!P15</f>
        <v>455420270</v>
      </c>
      <c r="R26">
        <f>'ASPEN Ex air'!Q15</f>
        <v>-11575636.7</v>
      </c>
      <c r="T26">
        <f t="shared" si="42"/>
        <v>-12532.7912</v>
      </c>
      <c r="U26">
        <f>'ASPEN Ex air'!R15</f>
        <v>95448765</v>
      </c>
      <c r="V26">
        <f>'ASPEN Ex air'!S15</f>
        <v>-52561005</v>
      </c>
      <c r="X26">
        <v>298</v>
      </c>
      <c r="Z26">
        <f>'ASPEN Ex air'!T15</f>
        <v>4233.3924</v>
      </c>
      <c r="AA26">
        <f>'ASPEN Ex air'!U15</f>
        <v>96538.4499</v>
      </c>
      <c r="AB26">
        <f>'ASPEN Ex air'!V15</f>
        <v>90084.1092</v>
      </c>
      <c r="AD26">
        <f t="shared" si="43"/>
        <v>4233.3924</v>
      </c>
      <c r="AE26">
        <f>'ASPEN Ex air'!W15</f>
        <v>-393626.205</v>
      </c>
      <c r="AF26">
        <f>'ASPEN Ex air'!X15</f>
        <v>36156.1876</v>
      </c>
      <c r="AJ26">
        <f t="shared" si="1"/>
        <v>0</v>
      </c>
      <c r="AK26">
        <f t="shared" si="2"/>
        <v>213902437.8398</v>
      </c>
      <c r="AL26">
        <f t="shared" si="3"/>
        <v>24914847.663199995</v>
      </c>
      <c r="AN26">
        <f t="shared" si="4"/>
        <v>0</v>
      </c>
      <c r="AO26">
        <f t="shared" si="5"/>
        <v>213.9024378398</v>
      </c>
      <c r="AP26">
        <f t="shared" si="6"/>
        <v>24.914847663199996</v>
      </c>
      <c r="AT26">
        <f t="shared" si="7"/>
        <v>0.8336999997423582</v>
      </c>
      <c r="AU26">
        <f t="shared" si="8"/>
        <v>0.5688000000467259</v>
      </c>
      <c r="AV26">
        <f t="shared" si="9"/>
        <v>4458.1845</v>
      </c>
      <c r="AW26">
        <f t="shared" si="10"/>
        <v>0</v>
      </c>
      <c r="AX26">
        <f t="shared" si="11"/>
        <v>0.13530650598926058</v>
      </c>
      <c r="AY26">
        <f t="shared" si="12"/>
        <v>0</v>
      </c>
      <c r="AZ26">
        <f t="shared" si="13"/>
        <v>70.1626384524495</v>
      </c>
      <c r="BA26">
        <f t="shared" si="14"/>
        <v>108.30017754690094</v>
      </c>
      <c r="BB26">
        <f t="shared" si="15"/>
        <v>7.5465192100648E-06</v>
      </c>
      <c r="BC26">
        <f t="shared" si="16"/>
        <v>100.70950043084619</v>
      </c>
      <c r="BE26">
        <f t="shared" si="17"/>
        <v>1.4024999997890841</v>
      </c>
      <c r="BF26">
        <f t="shared" si="18"/>
        <v>4458.1845</v>
      </c>
      <c r="BG26">
        <f t="shared" si="19"/>
        <v>279.3076304827051</v>
      </c>
      <c r="BI26" s="15">
        <f t="shared" si="44"/>
        <v>-0.32773602709919586</v>
      </c>
      <c r="BJ26" s="15">
        <f t="shared" si="45"/>
        <v>-0.18622064343204578</v>
      </c>
      <c r="BK26" s="15"/>
      <c r="BL26" s="15"/>
      <c r="BM26" s="15">
        <f t="shared" si="20"/>
        <v>-0.3141570120289705</v>
      </c>
      <c r="BN26" s="15"/>
      <c r="BO26" s="15">
        <f t="shared" si="21"/>
        <v>-0.36060193247288697</v>
      </c>
      <c r="BP26" s="15">
        <f t="shared" si="22"/>
        <v>-0.3669866830947027</v>
      </c>
      <c r="BQ26" s="15">
        <f t="shared" si="23"/>
        <v>-5.6305989297804745E-06</v>
      </c>
      <c r="BR26" s="15">
        <f t="shared" si="24"/>
        <v>-0.25565445935593273</v>
      </c>
      <c r="BT26" s="15">
        <f t="shared" si="25"/>
        <v>-0.5139566705312416</v>
      </c>
      <c r="BU26" s="15">
        <f t="shared" si="26"/>
        <v>0</v>
      </c>
      <c r="BV26" s="15">
        <f t="shared" si="27"/>
        <v>-1.2974057175514226</v>
      </c>
      <c r="BX26">
        <f t="shared" si="46"/>
        <v>0.0083144</v>
      </c>
      <c r="BY26">
        <v>298.15</v>
      </c>
      <c r="CA26">
        <f t="shared" si="28"/>
        <v>0.12843309383130785</v>
      </c>
      <c r="CB26">
        <f t="shared" si="29"/>
        <v>4458.1845</v>
      </c>
      <c r="CC26">
        <f t="shared" si="30"/>
        <v>276.09144168098356</v>
      </c>
      <c r="CG26">
        <f t="shared" si="31"/>
        <v>0.12843309383130785</v>
      </c>
      <c r="CH26">
        <f t="shared" si="32"/>
        <v>4672.0869378398</v>
      </c>
      <c r="CI26">
        <f t="shared" si="33"/>
        <v>301.0062893441836</v>
      </c>
      <c r="CK26" s="27">
        <f t="shared" si="34"/>
        <v>3.562244253551802</v>
      </c>
      <c r="CL26" s="27">
        <f t="shared" si="35"/>
        <v>3000.09957576963</v>
      </c>
      <c r="CM26" s="27">
        <f t="shared" si="36"/>
        <v>48876.47303756973</v>
      </c>
      <c r="CO26">
        <f>'Ch-exr of biomass'!$E$34</f>
        <v>63893.67098902874</v>
      </c>
      <c r="CQ26" s="3">
        <v>0.8</v>
      </c>
      <c r="CS26" s="13">
        <f t="shared" si="47"/>
        <v>0.8118750998801979</v>
      </c>
      <c r="CT26" s="13">
        <f t="shared" si="48"/>
        <v>0.06546735862073987</v>
      </c>
      <c r="CU26" s="13">
        <f t="shared" si="49"/>
        <v>0.7464113910375507</v>
      </c>
    </row>
    <row r="27" spans="5:99" ht="15">
      <c r="E27" s="12">
        <f t="shared" si="37"/>
        <v>0.21000000012179926</v>
      </c>
      <c r="F27" s="12">
        <f t="shared" si="38"/>
        <v>0.7899999998782008</v>
      </c>
      <c r="G27" s="14">
        <f t="shared" si="39"/>
        <v>1</v>
      </c>
      <c r="H27" s="14">
        <f>H13/($H$13+$I$13+$J$13+$K$13+$L$13+$M$13+$N$13)</f>
        <v>0</v>
      </c>
      <c r="I27" s="14">
        <f aca="true" t="shared" si="57" ref="I27:N27">I13/($H$13+$I$13+$J$13+$K$13+$L$13+$M$13+$N$13)</f>
        <v>0.19891423796430177</v>
      </c>
      <c r="J27" s="14">
        <f t="shared" si="57"/>
        <v>0</v>
      </c>
      <c r="K27" s="14">
        <f t="shared" si="57"/>
        <v>0.2955873986618315</v>
      </c>
      <c r="L27" s="14">
        <f t="shared" si="57"/>
        <v>0.39046165207533456</v>
      </c>
      <c r="M27" s="14">
        <f t="shared" si="57"/>
        <v>3.8407523063504214E-07</v>
      </c>
      <c r="N27" s="14">
        <f t="shared" si="57"/>
        <v>0.1150363272233015</v>
      </c>
      <c r="O27" s="15">
        <f t="shared" si="41"/>
        <v>0.9999999999999999</v>
      </c>
      <c r="P27">
        <f>'ASPEN Ex air'!O16</f>
        <v>-12532.7912</v>
      </c>
      <c r="Q27">
        <f>'ASPEN Ex air'!P16</f>
        <v>455802946</v>
      </c>
      <c r="R27">
        <f>'ASPEN Ex air'!Q16</f>
        <v>-10937884.5</v>
      </c>
      <c r="T27">
        <f t="shared" si="42"/>
        <v>-12532.7912</v>
      </c>
      <c r="U27">
        <f>'ASPEN Ex air'!R16</f>
        <v>95446757.5</v>
      </c>
      <c r="V27">
        <f>'ASPEN Ex air'!S16</f>
        <v>-51739916.8</v>
      </c>
      <c r="X27">
        <v>298</v>
      </c>
      <c r="Z27">
        <f>'ASPEN Ex air'!T16</f>
        <v>4233.3924</v>
      </c>
      <c r="AA27">
        <f>'ASPEN Ex air'!U16</f>
        <v>96804.0494</v>
      </c>
      <c r="AB27">
        <f>'ASPEN Ex air'!V16</f>
        <v>90050.587</v>
      </c>
      <c r="AD27">
        <f t="shared" si="43"/>
        <v>4233.3924</v>
      </c>
      <c r="AE27">
        <f>'ASPEN Ex air'!W16</f>
        <v>-393625.13</v>
      </c>
      <c r="AF27">
        <f>'ASPEN Ex air'!X16</f>
        <v>36346.6043</v>
      </c>
      <c r="AJ27">
        <f t="shared" si="1"/>
        <v>0</v>
      </c>
      <c r="AK27">
        <f t="shared" si="2"/>
        <v>214208293.0388</v>
      </c>
      <c r="AL27">
        <f t="shared" si="3"/>
        <v>24798245.455399998</v>
      </c>
      <c r="AN27">
        <f t="shared" si="4"/>
        <v>0</v>
      </c>
      <c r="AO27">
        <f t="shared" si="5"/>
        <v>214.2082930388</v>
      </c>
      <c r="AP27">
        <f t="shared" si="6"/>
        <v>24.798245455399996</v>
      </c>
      <c r="AT27">
        <f t="shared" si="7"/>
        <v>0.8337000004835431</v>
      </c>
      <c r="AU27">
        <f t="shared" si="8"/>
        <v>0.5687999999123046</v>
      </c>
      <c r="AV27">
        <f t="shared" si="9"/>
        <v>4458.1845</v>
      </c>
      <c r="AW27">
        <f t="shared" si="10"/>
        <v>0</v>
      </c>
      <c r="AX27">
        <f t="shared" si="11"/>
        <v>0.14321825133429728</v>
      </c>
      <c r="AY27">
        <f t="shared" si="12"/>
        <v>0</v>
      </c>
      <c r="AZ27">
        <f t="shared" si="13"/>
        <v>69.7881848240584</v>
      </c>
      <c r="BA27">
        <f t="shared" si="14"/>
        <v>107.38085893723776</v>
      </c>
      <c r="BB27">
        <f t="shared" si="15"/>
        <v>7.608530318880184E-06</v>
      </c>
      <c r="BC27">
        <f t="shared" si="16"/>
        <v>95.6699615352587</v>
      </c>
      <c r="BE27">
        <f t="shared" si="17"/>
        <v>1.4025000003958477</v>
      </c>
      <c r="BF27">
        <f t="shared" si="18"/>
        <v>4458.1845</v>
      </c>
      <c r="BG27">
        <f t="shared" si="19"/>
        <v>272.9822311564195</v>
      </c>
      <c r="BI27" s="15">
        <f t="shared" si="44"/>
        <v>-0.3277360272038668</v>
      </c>
      <c r="BJ27" s="15">
        <f t="shared" si="45"/>
        <v>-0.1862206435747336</v>
      </c>
      <c r="BK27" s="15"/>
      <c r="BL27" s="15"/>
      <c r="BM27" s="15">
        <f t="shared" si="20"/>
        <v>-0.3212229253926051</v>
      </c>
      <c r="BN27" s="15"/>
      <c r="BO27" s="15">
        <f t="shared" si="21"/>
        <v>-0.36025917858957746</v>
      </c>
      <c r="BP27" s="15">
        <f t="shared" si="22"/>
        <v>-0.3672001008796327</v>
      </c>
      <c r="BQ27" s="15">
        <f t="shared" si="23"/>
        <v>-5.67372345702076E-06</v>
      </c>
      <c r="BR27" s="15">
        <f t="shared" si="24"/>
        <v>-0.2487668987203455</v>
      </c>
      <c r="BT27" s="15">
        <f t="shared" si="25"/>
        <v>-0.5139566707786004</v>
      </c>
      <c r="BU27" s="15">
        <f t="shared" si="26"/>
        <v>0</v>
      </c>
      <c r="BV27" s="15">
        <f t="shared" si="27"/>
        <v>-1.2974547773056178</v>
      </c>
      <c r="BX27">
        <f t="shared" si="46"/>
        <v>0.0083144</v>
      </c>
      <c r="BY27">
        <v>298.15</v>
      </c>
      <c r="CA27">
        <f t="shared" si="28"/>
        <v>0.1284330938248841</v>
      </c>
      <c r="CB27">
        <f t="shared" si="29"/>
        <v>4458.1845</v>
      </c>
      <c r="CC27">
        <f t="shared" si="30"/>
        <v>269.7659207385914</v>
      </c>
      <c r="CG27">
        <f t="shared" si="31"/>
        <v>0.1284330938248841</v>
      </c>
      <c r="CH27">
        <f t="shared" si="32"/>
        <v>4672.3927930388</v>
      </c>
      <c r="CI27">
        <f t="shared" si="33"/>
        <v>294.56416619399135</v>
      </c>
      <c r="CK27" s="27">
        <f t="shared" si="34"/>
        <v>4.006968325227299</v>
      </c>
      <c r="CL27" s="27">
        <f t="shared" si="35"/>
        <v>2381.9622269456113</v>
      </c>
      <c r="CM27" s="27">
        <f t="shared" si="36"/>
        <v>49337.06291985089</v>
      </c>
      <c r="CO27">
        <f>'Ch-exr of biomass'!$E$34</f>
        <v>63893.67098902874</v>
      </c>
      <c r="CQ27" s="3">
        <v>0.9</v>
      </c>
      <c r="CS27" s="13">
        <f t="shared" si="47"/>
        <v>0.8094038281221168</v>
      </c>
      <c r="CT27" s="13">
        <f t="shared" si="48"/>
        <v>0.06671558178200233</v>
      </c>
      <c r="CU27" s="13">
        <f t="shared" si="49"/>
        <v>0.7426924300167606</v>
      </c>
    </row>
    <row r="28" spans="5:99" ht="15">
      <c r="E28" s="12">
        <f t="shared" si="37"/>
        <v>0.2100000000432756</v>
      </c>
      <c r="F28" s="12">
        <f t="shared" si="38"/>
        <v>0.7899999999567244</v>
      </c>
      <c r="G28" s="14">
        <f t="shared" si="39"/>
        <v>1</v>
      </c>
      <c r="H28" s="14">
        <f>H14/($H$14+$I$14+$J$14+$K$14+$L$14+$M$14+$N$14)</f>
        <v>0</v>
      </c>
      <c r="I28" s="14">
        <f aca="true" t="shared" si="58" ref="I28:N28">I14/($H$14+$I$14+$J$14+$K$14+$L$14+$M$14+$N$14)</f>
        <v>0.20920692086621642</v>
      </c>
      <c r="J28" s="14">
        <f t="shared" si="58"/>
        <v>0</v>
      </c>
      <c r="K28" s="14">
        <f t="shared" si="58"/>
        <v>0.2944732305963409</v>
      </c>
      <c r="L28" s="14">
        <f t="shared" si="58"/>
        <v>0.38726521306354034</v>
      </c>
      <c r="M28" s="14">
        <f t="shared" si="58"/>
        <v>3.911430094455139E-07</v>
      </c>
      <c r="N28" s="14">
        <f t="shared" si="58"/>
        <v>0.10905424433089299</v>
      </c>
      <c r="O28" s="15">
        <f t="shared" si="41"/>
        <v>1</v>
      </c>
      <c r="P28">
        <f>'ASPEN Ex air'!O17</f>
        <v>-12532.7912</v>
      </c>
      <c r="Q28">
        <f>'ASPEN Ex air'!P17</f>
        <v>456086393</v>
      </c>
      <c r="R28">
        <f>'ASPEN Ex air'!Q17</f>
        <v>-10332670.6</v>
      </c>
      <c r="T28">
        <f t="shared" si="42"/>
        <v>-12532.7912</v>
      </c>
      <c r="U28">
        <f>'ASPEN Ex air'!R17</f>
        <v>95443729.2</v>
      </c>
      <c r="V28">
        <f>'ASPEN Ex air'!S17</f>
        <v>-50940792.3</v>
      </c>
      <c r="X28">
        <v>298</v>
      </c>
      <c r="Z28">
        <f>'ASPEN Ex air'!T17</f>
        <v>4233.3924</v>
      </c>
      <c r="AA28">
        <f>'ASPEN Ex air'!U17</f>
        <v>97002.3636</v>
      </c>
      <c r="AB28">
        <f>'ASPEN Ex air'!V17</f>
        <v>90007.8979</v>
      </c>
      <c r="AD28">
        <f t="shared" si="43"/>
        <v>4233.3924</v>
      </c>
      <c r="AE28">
        <f>'ASPEN Ex air'!W17</f>
        <v>-393623.518</v>
      </c>
      <c r="AF28">
        <f>'ASPEN Ex air'!X17</f>
        <v>36534.1786</v>
      </c>
      <c r="AJ28">
        <f t="shared" si="1"/>
        <v>0</v>
      </c>
      <c r="AK28">
        <f t="shared" si="2"/>
        <v>214436151.08320004</v>
      </c>
      <c r="AL28">
        <f t="shared" si="3"/>
        <v>24672953.348599996</v>
      </c>
      <c r="AN28">
        <f t="shared" si="4"/>
        <v>0</v>
      </c>
      <c r="AO28">
        <f t="shared" si="5"/>
        <v>214.43615108320003</v>
      </c>
      <c r="AP28">
        <f t="shared" si="6"/>
        <v>24.672953348599997</v>
      </c>
      <c r="AT28">
        <f t="shared" si="7"/>
        <v>0.8337000001718041</v>
      </c>
      <c r="AU28">
        <f t="shared" si="8"/>
        <v>0.5687999999688416</v>
      </c>
      <c r="AV28">
        <f t="shared" si="9"/>
        <v>4458.1845</v>
      </c>
      <c r="AW28">
        <f t="shared" si="10"/>
        <v>0</v>
      </c>
      <c r="AX28">
        <f t="shared" si="11"/>
        <v>0.1506289830236758</v>
      </c>
      <c r="AY28">
        <f t="shared" si="12"/>
        <v>0</v>
      </c>
      <c r="AZ28">
        <f t="shared" si="13"/>
        <v>69.52512974379609</v>
      </c>
      <c r="BA28">
        <f t="shared" si="14"/>
        <v>106.50180624460423</v>
      </c>
      <c r="BB28">
        <f t="shared" si="15"/>
        <v>7.74854301711563E-06</v>
      </c>
      <c r="BC28">
        <f t="shared" si="16"/>
        <v>90.69496229778716</v>
      </c>
      <c r="BE28">
        <f t="shared" si="17"/>
        <v>1.4025000001406456</v>
      </c>
      <c r="BF28">
        <f t="shared" si="18"/>
        <v>4458.1845</v>
      </c>
      <c r="BG28">
        <f t="shared" si="19"/>
        <v>266.87253501775416</v>
      </c>
      <c r="BI28" s="15">
        <f t="shared" si="44"/>
        <v>-0.32773602715984274</v>
      </c>
      <c r="BJ28" s="15">
        <f t="shared" si="45"/>
        <v>-0.18622064351471976</v>
      </c>
      <c r="BK28" s="15"/>
      <c r="BL28" s="15"/>
      <c r="BM28" s="15">
        <f t="shared" si="20"/>
        <v>-0.3272898896578881</v>
      </c>
      <c r="BN28" s="15"/>
      <c r="BO28" s="15">
        <f t="shared" si="21"/>
        <v>-0.3600133064758402</v>
      </c>
      <c r="BP28" s="15">
        <f t="shared" si="22"/>
        <v>-0.3673774077178572</v>
      </c>
      <c r="BQ28" s="15">
        <f t="shared" si="23"/>
        <v>-5.770999291894363E-06</v>
      </c>
      <c r="BR28" s="15">
        <f t="shared" si="24"/>
        <v>-0.24165437595617958</v>
      </c>
      <c r="BT28" s="15">
        <f t="shared" si="25"/>
        <v>-0.5139566706745625</v>
      </c>
      <c r="BU28" s="15">
        <f t="shared" si="26"/>
        <v>0</v>
      </c>
      <c r="BV28" s="15">
        <f t="shared" si="27"/>
        <v>-1.296340750807057</v>
      </c>
      <c r="BX28">
        <f t="shared" si="46"/>
        <v>0.0083144</v>
      </c>
      <c r="BY28">
        <v>298.15</v>
      </c>
      <c r="CA28">
        <f t="shared" si="28"/>
        <v>0.1284330938275855</v>
      </c>
      <c r="CB28">
        <f t="shared" si="29"/>
        <v>4458.1845</v>
      </c>
      <c r="CC28">
        <f t="shared" si="30"/>
        <v>263.65898620294735</v>
      </c>
      <c r="CG28">
        <f t="shared" si="31"/>
        <v>0.1284330938275855</v>
      </c>
      <c r="CH28">
        <f t="shared" si="32"/>
        <v>4672.620651083201</v>
      </c>
      <c r="CI28">
        <f t="shared" si="33"/>
        <v>288.33193955154735</v>
      </c>
      <c r="CK28" s="27">
        <f t="shared" si="34"/>
        <v>4.45169239589027</v>
      </c>
      <c r="CL28" s="27">
        <f t="shared" si="35"/>
        <v>1790.6289343263472</v>
      </c>
      <c r="CM28" s="27">
        <f t="shared" si="36"/>
        <v>49774.624544112114</v>
      </c>
      <c r="CO28">
        <f>'Ch-exr of biomass'!$E$34</f>
        <v>63893.67098902874</v>
      </c>
      <c r="CQ28" s="3">
        <v>1</v>
      </c>
      <c r="CS28" s="13">
        <f t="shared" si="47"/>
        <v>0.8069916816731243</v>
      </c>
      <c r="CT28" s="13">
        <f t="shared" si="48"/>
        <v>0.06794816126712337</v>
      </c>
      <c r="CU28" s="13">
        <f t="shared" si="49"/>
        <v>0.7390482542588925</v>
      </c>
    </row>
    <row r="29" ht="15"/>
    <row r="30" spans="85:89" ht="15">
      <c r="CG30" t="s">
        <v>112</v>
      </c>
      <c r="CK30" t="s">
        <v>113</v>
      </c>
    </row>
    <row r="31" ht="15"/>
    <row r="32" spans="85:98" ht="15">
      <c r="CG32" s="19" t="s">
        <v>99</v>
      </c>
      <c r="CH32" s="19" t="s">
        <v>100</v>
      </c>
      <c r="CI32" s="19" t="s">
        <v>101</v>
      </c>
      <c r="CK32" s="19" t="s">
        <v>99</v>
      </c>
      <c r="CL32" s="19" t="s">
        <v>100</v>
      </c>
      <c r="CM32" s="19" t="s">
        <v>101</v>
      </c>
      <c r="CQ32" s="3" t="str">
        <f>CQ17</f>
        <v xml:space="preserve">Air (kg/s)  </v>
      </c>
      <c r="CR32" t="s">
        <v>105</v>
      </c>
      <c r="CS32" t="s">
        <v>103</v>
      </c>
      <c r="CT32" t="s">
        <v>119</v>
      </c>
    </row>
    <row r="33" spans="85:98" ht="15">
      <c r="CG33" s="5">
        <f aca="true" t="shared" si="59" ref="CG33:CG43">AN18*(E4+F4)*1000</f>
        <v>0</v>
      </c>
      <c r="CH33" s="5">
        <f aca="true" t="shared" si="60" ref="CH33:CH43">AO18*G4*1000</f>
        <v>370.12098920467145</v>
      </c>
      <c r="CI33">
        <f aca="true" t="shared" si="61" ref="CI33:CI43">AP18*SUM(H4:N4)*1000</f>
        <v>3169.8913422450314</v>
      </c>
      <c r="CK33" s="5">
        <f aca="true" t="shared" si="62" ref="CK33:CK43">CA18*(E4+F4)*1000</f>
        <v>0.004451692395890271</v>
      </c>
      <c r="CL33" s="5">
        <f aca="true" t="shared" si="63" ref="CL33:CL43">CB18*G4*1000</f>
        <v>7838.2515030227105</v>
      </c>
      <c r="CM33">
        <f aca="true" t="shared" si="64" ref="CM33:CM43">CC18*SUM(H4:N4)*1000</f>
        <v>41819.768839860306</v>
      </c>
      <c r="CQ33" s="3">
        <f>CQ18</f>
        <v>0</v>
      </c>
      <c r="CR33" s="27">
        <f>CM18</f>
        <v>44989.66018210534</v>
      </c>
      <c r="CS33" s="27">
        <f>CL18</f>
        <v>8208.372492227381</v>
      </c>
      <c r="CT33" s="27">
        <f>CO18</f>
        <v>63893.67098902874</v>
      </c>
    </row>
    <row r="34" spans="85:98" ht="15">
      <c r="CG34" s="5">
        <f t="shared" si="59"/>
        <v>0</v>
      </c>
      <c r="CH34" s="5">
        <f t="shared" si="60"/>
        <v>341.9312670722085</v>
      </c>
      <c r="CI34">
        <f t="shared" si="61"/>
        <v>3277.4059708277814</v>
      </c>
      <c r="CK34" s="5">
        <f t="shared" si="62"/>
        <v>0.4491757620693984</v>
      </c>
      <c r="CL34" s="5">
        <f t="shared" si="63"/>
        <v>7227.158211856275</v>
      </c>
      <c r="CM34">
        <f t="shared" si="64"/>
        <v>42183.656157646365</v>
      </c>
      <c r="CQ34" s="3">
        <f aca="true" t="shared" si="65" ref="CQ34:CQ43">CQ19</f>
        <v>0.1</v>
      </c>
      <c r="CR34" s="27">
        <f aca="true" t="shared" si="66" ref="CR34:CR43">CM19</f>
        <v>45461.06212847415</v>
      </c>
      <c r="CS34" s="27">
        <f aca="true" t="shared" si="67" ref="CS34:CS43">CL19</f>
        <v>7569.089478928484</v>
      </c>
      <c r="CT34" s="27">
        <f aca="true" t="shared" si="68" ref="CT34:CT43">CO19</f>
        <v>63893.67098902874</v>
      </c>
    </row>
    <row r="35" spans="85:98" ht="15">
      <c r="CG35" s="5">
        <f t="shared" si="59"/>
        <v>0</v>
      </c>
      <c r="CH35" s="5">
        <f t="shared" si="60"/>
        <v>313.0965695647017</v>
      </c>
      <c r="CI35">
        <f t="shared" si="61"/>
        <v>3386.214467966918</v>
      </c>
      <c r="CK35" s="5">
        <f t="shared" si="62"/>
        <v>0.8938998326311353</v>
      </c>
      <c r="CL35" s="5">
        <f t="shared" si="63"/>
        <v>6603.8523038160765</v>
      </c>
      <c r="CM35">
        <f t="shared" si="64"/>
        <v>42559.16436595025</v>
      </c>
      <c r="CQ35" s="3">
        <f t="shared" si="65"/>
        <v>0.2</v>
      </c>
      <c r="CR35" s="27">
        <f t="shared" si="66"/>
        <v>45945.37883391716</v>
      </c>
      <c r="CS35" s="27">
        <f t="shared" si="67"/>
        <v>6916.9488733807775</v>
      </c>
      <c r="CT35" s="27">
        <f t="shared" si="68"/>
        <v>63893.67098902874</v>
      </c>
    </row>
    <row r="36" spans="85:98" ht="15">
      <c r="CG36" s="5">
        <f t="shared" si="59"/>
        <v>0</v>
      </c>
      <c r="CH36" s="5">
        <f t="shared" si="60"/>
        <v>283.8767658003471</v>
      </c>
      <c r="CI36">
        <f t="shared" si="61"/>
        <v>3495.8216703624184</v>
      </c>
      <c r="CK36" s="5">
        <f t="shared" si="62"/>
        <v>1.338623903294125</v>
      </c>
      <c r="CL36" s="5">
        <f t="shared" si="63"/>
        <v>5974.720618598655</v>
      </c>
      <c r="CM36">
        <f t="shared" si="64"/>
        <v>42940.63401653361</v>
      </c>
      <c r="CQ36" s="3">
        <f t="shared" si="65"/>
        <v>0.3</v>
      </c>
      <c r="CR36" s="27">
        <f t="shared" si="66"/>
        <v>46436.45568689603</v>
      </c>
      <c r="CS36" s="27">
        <f t="shared" si="67"/>
        <v>6258.597384399002</v>
      </c>
      <c r="CT36" s="27">
        <f t="shared" si="68"/>
        <v>63893.67098902874</v>
      </c>
    </row>
    <row r="37" spans="85:98" ht="15">
      <c r="CG37" s="5">
        <f t="shared" si="59"/>
        <v>0</v>
      </c>
      <c r="CH37" s="5">
        <f t="shared" si="60"/>
        <v>254.43932785784358</v>
      </c>
      <c r="CI37">
        <f t="shared" si="61"/>
        <v>3605.909031305287</v>
      </c>
      <c r="CK37" s="5">
        <f t="shared" si="62"/>
        <v>1.7833479708998534</v>
      </c>
      <c r="CL37" s="5">
        <f t="shared" si="63"/>
        <v>5343.722202367396</v>
      </c>
      <c r="CM37">
        <f t="shared" si="64"/>
        <v>43324.5490595493</v>
      </c>
      <c r="CQ37" s="3">
        <f t="shared" si="65"/>
        <v>0.4</v>
      </c>
      <c r="CR37" s="27">
        <f t="shared" si="66"/>
        <v>46930.45809085459</v>
      </c>
      <c r="CS37" s="27">
        <f t="shared" si="67"/>
        <v>5598.1615302252385</v>
      </c>
      <c r="CT37" s="27">
        <f t="shared" si="68"/>
        <v>63893.67098902874</v>
      </c>
    </row>
    <row r="38" spans="85:98" ht="15">
      <c r="CG38" s="5">
        <f t="shared" si="59"/>
        <v>0</v>
      </c>
      <c r="CH38" s="5">
        <f t="shared" si="60"/>
        <v>224.92068532549098</v>
      </c>
      <c r="CI38">
        <f t="shared" si="61"/>
        <v>3716.216080394833</v>
      </c>
      <c r="CK38" s="5">
        <f t="shared" si="62"/>
        <v>2.2280720415628434</v>
      </c>
      <c r="CL38" s="5">
        <f t="shared" si="63"/>
        <v>4713.923349839551</v>
      </c>
      <c r="CM38">
        <f t="shared" si="64"/>
        <v>43708.20548558124</v>
      </c>
      <c r="CQ38" s="3">
        <f t="shared" si="65"/>
        <v>0.5</v>
      </c>
      <c r="CR38" s="27">
        <f t="shared" si="66"/>
        <v>47424.421565976074</v>
      </c>
      <c r="CS38" s="27">
        <f t="shared" si="67"/>
        <v>4938.844035165042</v>
      </c>
      <c r="CT38" s="27">
        <f t="shared" si="68"/>
        <v>63893.67098902874</v>
      </c>
    </row>
    <row r="39" spans="85:98" ht="15">
      <c r="CG39" s="5">
        <f t="shared" si="59"/>
        <v>0</v>
      </c>
      <c r="CH39" s="5">
        <f t="shared" si="60"/>
        <v>195.45540748375345</v>
      </c>
      <c r="CI39">
        <f t="shared" si="61"/>
        <v>3826.4819223322515</v>
      </c>
      <c r="CK39" s="5">
        <f t="shared" si="62"/>
        <v>2.6727961122258264</v>
      </c>
      <c r="CL39" s="5">
        <f t="shared" si="63"/>
        <v>4088.2068211928795</v>
      </c>
      <c r="CM39">
        <f t="shared" si="64"/>
        <v>44089.09659446979</v>
      </c>
      <c r="CQ39" s="3">
        <f t="shared" si="65"/>
        <v>0.6</v>
      </c>
      <c r="CR39" s="27">
        <f t="shared" si="66"/>
        <v>47915.578516802045</v>
      </c>
      <c r="CS39" s="27">
        <f t="shared" si="67"/>
        <v>4283.662228676632</v>
      </c>
      <c r="CT39" s="27">
        <f t="shared" si="68"/>
        <v>63893.67098902874</v>
      </c>
    </row>
    <row r="40" spans="85:98" ht="15">
      <c r="CG40" s="5">
        <f t="shared" si="59"/>
        <v>0</v>
      </c>
      <c r="CH40" s="5">
        <f t="shared" si="60"/>
        <v>166.19939859219195</v>
      </c>
      <c r="CI40">
        <f t="shared" si="61"/>
        <v>3936.4056527214175</v>
      </c>
      <c r="CK40" s="5">
        <f t="shared" si="62"/>
        <v>3.117520182888812</v>
      </c>
      <c r="CL40" s="5">
        <f t="shared" si="63"/>
        <v>3469.791768916589</v>
      </c>
      <c r="CM40">
        <f t="shared" si="64"/>
        <v>44464.466342574</v>
      </c>
      <c r="CQ40" s="3">
        <f t="shared" si="65"/>
        <v>0.7</v>
      </c>
      <c r="CR40" s="27">
        <f t="shared" si="66"/>
        <v>48400.87199529542</v>
      </c>
      <c r="CS40" s="27">
        <f t="shared" si="67"/>
        <v>3635.991167508781</v>
      </c>
      <c r="CT40" s="27">
        <f t="shared" si="68"/>
        <v>63893.67098902874</v>
      </c>
    </row>
    <row r="41" spans="85:98" ht="15">
      <c r="CG41" s="5">
        <f t="shared" si="59"/>
        <v>0</v>
      </c>
      <c r="CH41" s="5">
        <f t="shared" si="60"/>
        <v>137.35373967933592</v>
      </c>
      <c r="CI41">
        <f t="shared" si="61"/>
        <v>4045.596132554971</v>
      </c>
      <c r="CK41" s="5">
        <f t="shared" si="62"/>
        <v>3.562244253551802</v>
      </c>
      <c r="CL41" s="5">
        <f t="shared" si="63"/>
        <v>2862.7458360902942</v>
      </c>
      <c r="CM41">
        <f t="shared" si="64"/>
        <v>44830.87690501475</v>
      </c>
      <c r="CQ41" s="3">
        <f t="shared" si="65"/>
        <v>0.8</v>
      </c>
      <c r="CR41" s="27">
        <f t="shared" si="66"/>
        <v>48876.47303756973</v>
      </c>
      <c r="CS41" s="27">
        <f t="shared" si="67"/>
        <v>3000.09957576963</v>
      </c>
      <c r="CT41" s="27">
        <f t="shared" si="68"/>
        <v>63893.67098902874</v>
      </c>
    </row>
    <row r="42" spans="85:98" ht="15">
      <c r="CG42" s="5">
        <f t="shared" si="59"/>
        <v>0</v>
      </c>
      <c r="CH42" s="5">
        <f t="shared" si="60"/>
        <v>109.20230496825891</v>
      </c>
      <c r="CI42">
        <f t="shared" si="61"/>
        <v>4153.501127252637</v>
      </c>
      <c r="CK42" s="5">
        <f t="shared" si="62"/>
        <v>4.006968325227299</v>
      </c>
      <c r="CL42" s="5">
        <f t="shared" si="63"/>
        <v>2272.7599219773524</v>
      </c>
      <c r="CM42">
        <f t="shared" si="64"/>
        <v>45183.56179259826</v>
      </c>
      <c r="CQ42" s="3">
        <f t="shared" si="65"/>
        <v>0.9</v>
      </c>
      <c r="CR42" s="27">
        <f t="shared" si="66"/>
        <v>49337.06291985089</v>
      </c>
      <c r="CS42" s="27">
        <f t="shared" si="67"/>
        <v>2381.9622269456113</v>
      </c>
      <c r="CT42" s="27">
        <f t="shared" si="68"/>
        <v>63893.67098902874</v>
      </c>
    </row>
    <row r="43" spans="85:98" ht="15">
      <c r="CG43" s="5">
        <f t="shared" si="59"/>
        <v>0</v>
      </c>
      <c r="CH43" s="5">
        <f t="shared" si="60"/>
        <v>82.17563662184762</v>
      </c>
      <c r="CI43">
        <f t="shared" si="61"/>
        <v>4259.281823689199</v>
      </c>
      <c r="CK43" s="5">
        <f t="shared" si="62"/>
        <v>4.45169239589027</v>
      </c>
      <c r="CL43" s="5">
        <f t="shared" si="63"/>
        <v>1708.4532977044994</v>
      </c>
      <c r="CM43">
        <f t="shared" si="64"/>
        <v>45515.342720422916</v>
      </c>
      <c r="CQ43" s="3">
        <f t="shared" si="65"/>
        <v>1</v>
      </c>
      <c r="CR43" s="27">
        <f t="shared" si="66"/>
        <v>49774.624544112114</v>
      </c>
      <c r="CS43" s="27">
        <f t="shared" si="67"/>
        <v>1790.6289343263472</v>
      </c>
      <c r="CT43" s="27">
        <f t="shared" si="68"/>
        <v>63893.67098902874</v>
      </c>
    </row>
    <row r="44" spans="85:98" ht="15">
      <c r="CG44" s="5"/>
      <c r="CH44" s="5"/>
      <c r="CQ44" s="3"/>
      <c r="CR44" s="27"/>
      <c r="CS44" s="27"/>
      <c r="CT44" s="27"/>
    </row>
    <row r="45" spans="85:98" ht="15">
      <c r="CG45" s="5"/>
      <c r="CH45" s="5"/>
      <c r="CQ45" s="3"/>
      <c r="CR45" s="27"/>
      <c r="CS45" s="27"/>
      <c r="CT45" s="27"/>
    </row>
    <row r="46" spans="95:98" ht="15">
      <c r="CQ46" s="3"/>
      <c r="CR46" s="27"/>
      <c r="CS46" s="27"/>
      <c r="CT46" s="27"/>
    </row>
    <row r="47" spans="95:98" ht="15">
      <c r="CQ47" s="3"/>
      <c r="CR47" s="27"/>
      <c r="CS47" s="27"/>
      <c r="CT47" s="27"/>
    </row>
    <row r="48" spans="95:98" ht="15">
      <c r="CQ48" s="3"/>
      <c r="CR48" s="27"/>
      <c r="CS48" s="27"/>
      <c r="CT48" s="27"/>
    </row>
    <row r="49" spans="95:98" ht="15">
      <c r="CQ49" s="3"/>
      <c r="CR49" s="27"/>
      <c r="CS49" s="27"/>
      <c r="CT49" s="27"/>
    </row>
    <row r="50" spans="95:98" ht="15">
      <c r="CQ50" s="3"/>
      <c r="CR50" s="27"/>
      <c r="CS50" s="27"/>
      <c r="CT50" s="27"/>
    </row>
    <row r="51" spans="95:98" ht="15">
      <c r="CQ51" s="3"/>
      <c r="CR51" s="27"/>
      <c r="CS51" s="27"/>
      <c r="CT51" s="27"/>
    </row>
    <row r="52" spans="95:98" ht="15">
      <c r="CQ52" s="3"/>
      <c r="CR52" s="27"/>
      <c r="CS52" s="27"/>
      <c r="CT52" s="27"/>
    </row>
    <row r="53" spans="95:98" ht="15">
      <c r="CQ53" s="3"/>
      <c r="CR53" s="27"/>
      <c r="CS53" s="27"/>
      <c r="CT53" s="27"/>
    </row>
    <row r="54" ht="15">
      <c r="CQ54" s="3"/>
    </row>
  </sheetData>
  <mergeCells count="8">
    <mergeCell ref="BL15:BR15"/>
    <mergeCell ref="E1:F1"/>
    <mergeCell ref="G1:N1"/>
    <mergeCell ref="AJ16:AL16"/>
    <mergeCell ref="AN16:AP16"/>
    <mergeCell ref="AT15:AU15"/>
    <mergeCell ref="AW15:BC15"/>
    <mergeCell ref="BI15:BJ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 topLeftCell="A1">
      <selection activeCell="M22" sqref="M22"/>
    </sheetView>
  </sheetViews>
  <sheetFormatPr defaultColWidth="9.140625" defaultRowHeight="15"/>
  <sheetData>
    <row r="1" ht="15">
      <c r="A1" t="s">
        <v>52</v>
      </c>
    </row>
    <row r="2" spans="2:28" ht="15">
      <c r="B2" t="s">
        <v>54</v>
      </c>
      <c r="C2" t="s">
        <v>67</v>
      </c>
      <c r="D2" s="26" t="s">
        <v>68</v>
      </c>
      <c r="E2" s="26" t="s">
        <v>69</v>
      </c>
      <c r="F2" s="9" t="s">
        <v>70</v>
      </c>
      <c r="G2" s="1" t="s">
        <v>71</v>
      </c>
      <c r="H2" s="11" t="s">
        <v>72</v>
      </c>
      <c r="I2" s="11" t="s">
        <v>73</v>
      </c>
      <c r="J2" s="11" t="s">
        <v>74</v>
      </c>
      <c r="K2" s="11" t="s">
        <v>75</v>
      </c>
      <c r="L2" s="11" t="s">
        <v>76</v>
      </c>
      <c r="M2" s="11" t="s">
        <v>77</v>
      </c>
      <c r="N2" s="11" t="s">
        <v>78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55</v>
      </c>
      <c r="U2" t="s">
        <v>86</v>
      </c>
      <c r="V2" t="s">
        <v>87</v>
      </c>
      <c r="W2" t="s">
        <v>88</v>
      </c>
      <c r="X2" t="s">
        <v>89</v>
      </c>
      <c r="Y2" t="s">
        <v>92</v>
      </c>
      <c r="Z2" t="s">
        <v>93</v>
      </c>
      <c r="AA2" t="s">
        <v>94</v>
      </c>
      <c r="AB2" t="s">
        <v>95</v>
      </c>
    </row>
    <row r="3" ht="15">
      <c r="B3" t="s">
        <v>56</v>
      </c>
    </row>
    <row r="4" ht="15">
      <c r="B4" t="s">
        <v>57</v>
      </c>
    </row>
    <row r="5" ht="15">
      <c r="B5" t="s">
        <v>58</v>
      </c>
    </row>
    <row r="6" spans="2:28" ht="15">
      <c r="B6" t="s">
        <v>59</v>
      </c>
      <c r="C6" t="s">
        <v>64</v>
      </c>
      <c r="D6" t="s">
        <v>64</v>
      </c>
      <c r="E6" t="s">
        <v>64</v>
      </c>
      <c r="F6" t="s">
        <v>64</v>
      </c>
      <c r="G6" t="s">
        <v>64</v>
      </c>
      <c r="H6" t="s">
        <v>64</v>
      </c>
      <c r="I6" t="s">
        <v>64</v>
      </c>
      <c r="J6" t="s">
        <v>64</v>
      </c>
      <c r="K6" t="s">
        <v>64</v>
      </c>
      <c r="L6" t="s">
        <v>64</v>
      </c>
      <c r="M6" t="s">
        <v>64</v>
      </c>
      <c r="N6" t="s">
        <v>64</v>
      </c>
      <c r="O6" t="s">
        <v>90</v>
      </c>
      <c r="P6" t="s">
        <v>90</v>
      </c>
      <c r="Q6" t="s">
        <v>90</v>
      </c>
      <c r="R6" t="s">
        <v>90</v>
      </c>
      <c r="S6" t="s">
        <v>90</v>
      </c>
      <c r="T6" t="s">
        <v>91</v>
      </c>
      <c r="U6" t="s">
        <v>91</v>
      </c>
      <c r="V6" t="s">
        <v>91</v>
      </c>
      <c r="W6" t="s">
        <v>91</v>
      </c>
      <c r="X6" t="s">
        <v>91</v>
      </c>
      <c r="Y6" t="s">
        <v>90</v>
      </c>
      <c r="Z6" t="s">
        <v>91</v>
      </c>
      <c r="AA6" t="s">
        <v>90</v>
      </c>
      <c r="AB6" t="s">
        <v>91</v>
      </c>
    </row>
    <row r="7" spans="1:24" ht="15">
      <c r="A7">
        <v>1</v>
      </c>
      <c r="B7" s="5">
        <v>0.001</v>
      </c>
      <c r="C7">
        <v>0</v>
      </c>
      <c r="D7" s="5">
        <v>7.27892925E-06</v>
      </c>
      <c r="E7" s="5">
        <v>2.73826386E-05</v>
      </c>
      <c r="F7" s="5">
        <v>0.00175817118</v>
      </c>
      <c r="G7">
        <v>0.007</v>
      </c>
      <c r="H7">
        <v>0</v>
      </c>
      <c r="I7">
        <v>0.00807257207</v>
      </c>
      <c r="J7">
        <v>0</v>
      </c>
      <c r="K7">
        <v>0.0389363666</v>
      </c>
      <c r="L7">
        <v>0.0523099955</v>
      </c>
      <c r="M7" s="5">
        <v>5.01045113E-08</v>
      </c>
      <c r="N7">
        <v>0.0223687729</v>
      </c>
      <c r="O7">
        <v>-12532.7912</v>
      </c>
      <c r="P7">
        <v>451151988</v>
      </c>
      <c r="Q7">
        <v>-18432214.2</v>
      </c>
      <c r="R7">
        <v>95447558.5</v>
      </c>
      <c r="S7">
        <v>-61221989.9</v>
      </c>
      <c r="T7">
        <v>4233.3924</v>
      </c>
      <c r="U7">
        <v>93588.0881</v>
      </c>
      <c r="V7">
        <v>89843.0808</v>
      </c>
      <c r="W7">
        <v>-393625.558</v>
      </c>
      <c r="X7">
        <v>33667.276</v>
      </c>
    </row>
    <row r="8" spans="1:24" ht="15">
      <c r="A8">
        <v>2</v>
      </c>
      <c r="B8">
        <v>0.1009</v>
      </c>
      <c r="C8">
        <v>0</v>
      </c>
      <c r="D8" s="5">
        <v>0.000734443961</v>
      </c>
      <c r="E8" s="5">
        <v>0.00276290823</v>
      </c>
      <c r="F8" s="5">
        <v>0.00162109895</v>
      </c>
      <c r="G8">
        <v>0.007</v>
      </c>
      <c r="H8">
        <v>0</v>
      </c>
      <c r="I8">
        <v>0.0108766338</v>
      </c>
      <c r="J8">
        <v>0</v>
      </c>
      <c r="K8">
        <v>0.0401314053</v>
      </c>
      <c r="L8">
        <v>0.0537643534</v>
      </c>
      <c r="M8" s="5">
        <v>5.15812509E-08</v>
      </c>
      <c r="N8">
        <v>0.0220111761</v>
      </c>
      <c r="O8">
        <v>-12532.7912</v>
      </c>
      <c r="P8">
        <v>451672025</v>
      </c>
      <c r="Q8">
        <v>-17341305</v>
      </c>
      <c r="R8">
        <v>95449510.6</v>
      </c>
      <c r="S8">
        <v>-59819341.3</v>
      </c>
      <c r="T8">
        <v>4233.3924</v>
      </c>
      <c r="U8">
        <v>93946.9366</v>
      </c>
      <c r="V8">
        <v>89966.3269</v>
      </c>
      <c r="W8">
        <v>-393626.605</v>
      </c>
      <c r="X8">
        <v>34168.8546</v>
      </c>
    </row>
    <row r="9" spans="1:24" ht="15">
      <c r="A9">
        <v>3</v>
      </c>
      <c r="B9">
        <v>0.2008</v>
      </c>
      <c r="C9">
        <v>0</v>
      </c>
      <c r="D9">
        <v>0.00146160899</v>
      </c>
      <c r="E9">
        <v>0.00549843383</v>
      </c>
      <c r="F9" s="5">
        <v>0.00148128735</v>
      </c>
      <c r="G9">
        <v>0.007</v>
      </c>
      <c r="H9">
        <v>0</v>
      </c>
      <c r="I9">
        <v>0.0136820652</v>
      </c>
      <c r="J9">
        <v>0</v>
      </c>
      <c r="K9">
        <v>0.0412922492</v>
      </c>
      <c r="L9">
        <v>0.0552187049</v>
      </c>
      <c r="M9" s="5">
        <v>5.28793771E-08</v>
      </c>
      <c r="N9">
        <v>0.0216754606</v>
      </c>
      <c r="O9">
        <v>-12532.7912</v>
      </c>
      <c r="P9">
        <v>452230712</v>
      </c>
      <c r="Q9">
        <v>-16335749.7</v>
      </c>
      <c r="R9">
        <v>95450657.9</v>
      </c>
      <c r="S9">
        <v>-58542313.4</v>
      </c>
      <c r="T9">
        <v>4233.3924</v>
      </c>
      <c r="U9">
        <v>94333.0886</v>
      </c>
      <c r="V9">
        <v>90045.6531</v>
      </c>
      <c r="W9">
        <v>-393627.221</v>
      </c>
      <c r="X9">
        <v>34583.0735</v>
      </c>
    </row>
    <row r="10" spans="1:24" ht="15">
      <c r="A10">
        <v>4</v>
      </c>
      <c r="B10">
        <v>0.3007</v>
      </c>
      <c r="C10">
        <v>0</v>
      </c>
      <c r="D10">
        <v>0.00218877402</v>
      </c>
      <c r="E10">
        <v>0.00823395943</v>
      </c>
      <c r="F10" s="5">
        <v>0.00134016899</v>
      </c>
      <c r="G10">
        <v>0.007</v>
      </c>
      <c r="H10">
        <v>0</v>
      </c>
      <c r="I10">
        <v>0.01648815</v>
      </c>
      <c r="J10">
        <v>0</v>
      </c>
      <c r="K10">
        <v>0.0424367868</v>
      </c>
      <c r="L10">
        <v>0.0566730526</v>
      </c>
      <c r="M10" s="5">
        <v>5.4116893E-08</v>
      </c>
      <c r="N10">
        <v>0.021350179</v>
      </c>
      <c r="O10">
        <v>-12532.7912</v>
      </c>
      <c r="P10">
        <v>452803122</v>
      </c>
      <c r="Q10">
        <v>-15403651.6</v>
      </c>
      <c r="R10">
        <v>95451286.2</v>
      </c>
      <c r="S10">
        <v>-57367978.4</v>
      </c>
      <c r="T10">
        <v>4233.3924</v>
      </c>
      <c r="U10">
        <v>94728.8707</v>
      </c>
      <c r="V10">
        <v>90094.1103</v>
      </c>
      <c r="W10">
        <v>-393627.56</v>
      </c>
      <c r="X10">
        <v>34933.933</v>
      </c>
    </row>
    <row r="11" spans="1:24" ht="15">
      <c r="A11">
        <v>5</v>
      </c>
      <c r="B11">
        <v>0.4006</v>
      </c>
      <c r="C11">
        <v>0</v>
      </c>
      <c r="D11">
        <v>0.00291593906</v>
      </c>
      <c r="E11">
        <v>0.010969485</v>
      </c>
      <c r="F11" s="5">
        <v>0.00119863191</v>
      </c>
      <c r="G11">
        <v>0.007</v>
      </c>
      <c r="H11">
        <v>0</v>
      </c>
      <c r="I11">
        <v>0.0192944441</v>
      </c>
      <c r="J11">
        <v>0</v>
      </c>
      <c r="K11">
        <v>0.0435761084</v>
      </c>
      <c r="L11">
        <v>0.0581273977</v>
      </c>
      <c r="M11" s="5">
        <v>5.53696207E-08</v>
      </c>
      <c r="N11">
        <v>0.0210282344</v>
      </c>
      <c r="O11">
        <v>-12532.7912</v>
      </c>
      <c r="P11">
        <v>453374219</v>
      </c>
      <c r="Q11">
        <v>-14535864.9</v>
      </c>
      <c r="R11">
        <v>95451519.8</v>
      </c>
      <c r="S11">
        <v>-56280056.8</v>
      </c>
      <c r="T11">
        <v>4233.3924</v>
      </c>
      <c r="U11">
        <v>95123.7127</v>
      </c>
      <c r="V11">
        <v>90119.9871</v>
      </c>
      <c r="W11">
        <v>-393627.686</v>
      </c>
      <c r="X11">
        <v>35236.9068</v>
      </c>
    </row>
    <row r="12" spans="1:24" ht="15">
      <c r="A12">
        <v>6</v>
      </c>
      <c r="B12">
        <v>0.5005</v>
      </c>
      <c r="C12">
        <v>0</v>
      </c>
      <c r="D12">
        <v>0.00364310409</v>
      </c>
      <c r="E12">
        <v>0.0137050106</v>
      </c>
      <c r="F12" s="5">
        <v>0.0010573639</v>
      </c>
      <c r="G12">
        <v>0.007</v>
      </c>
      <c r="H12">
        <v>0</v>
      </c>
      <c r="I12">
        <v>0.0221006037</v>
      </c>
      <c r="J12">
        <v>0</v>
      </c>
      <c r="K12">
        <v>0.0447188058</v>
      </c>
      <c r="L12">
        <v>0.0595817408</v>
      </c>
      <c r="M12" s="5">
        <v>5.66995412E-08</v>
      </c>
      <c r="N12">
        <v>0.0207041282</v>
      </c>
      <c r="O12">
        <v>-12532.7912</v>
      </c>
      <c r="P12">
        <v>453932674</v>
      </c>
      <c r="Q12">
        <v>-13724962.7</v>
      </c>
      <c r="R12">
        <v>95451407.1</v>
      </c>
      <c r="S12">
        <v>-55265743.8</v>
      </c>
      <c r="T12">
        <v>4233.3924</v>
      </c>
      <c r="U12">
        <v>95509.7398</v>
      </c>
      <c r="V12">
        <v>90128.7974</v>
      </c>
      <c r="W12">
        <v>-393627.625</v>
      </c>
      <c r="X12">
        <v>35502.9528</v>
      </c>
    </row>
    <row r="13" spans="1:24" ht="15">
      <c r="A13">
        <v>7</v>
      </c>
      <c r="B13">
        <v>0.6004</v>
      </c>
      <c r="C13">
        <v>0</v>
      </c>
      <c r="D13">
        <v>0.00437026912</v>
      </c>
      <c r="E13">
        <v>0.0164405362</v>
      </c>
      <c r="F13" s="5">
        <v>0.000917011582</v>
      </c>
      <c r="G13">
        <v>0.007</v>
      </c>
      <c r="H13">
        <v>0</v>
      </c>
      <c r="I13">
        <v>0.0249063055</v>
      </c>
      <c r="J13">
        <v>0</v>
      </c>
      <c r="K13">
        <v>0.0458729581</v>
      </c>
      <c r="L13">
        <v>0.0610360823</v>
      </c>
      <c r="M13" s="5">
        <v>5.81694657E-08</v>
      </c>
      <c r="N13">
        <v>0.0203726903</v>
      </c>
      <c r="O13">
        <v>-12532.7912</v>
      </c>
      <c r="P13">
        <v>454467941</v>
      </c>
      <c r="Q13">
        <v>-12964739.9</v>
      </c>
      <c r="R13">
        <v>95450948.4</v>
      </c>
      <c r="S13">
        <v>-54314236.2</v>
      </c>
      <c r="T13">
        <v>4233.3924</v>
      </c>
      <c r="U13">
        <v>95879.708</v>
      </c>
      <c r="V13">
        <v>90124.2635</v>
      </c>
      <c r="W13">
        <v>-393627.378</v>
      </c>
      <c r="X13">
        <v>35740.4152</v>
      </c>
    </row>
    <row r="14" spans="1:24" ht="15">
      <c r="A14">
        <v>8</v>
      </c>
      <c r="B14">
        <v>0.7003</v>
      </c>
      <c r="C14">
        <v>0</v>
      </c>
      <c r="D14">
        <v>0.00509743415</v>
      </c>
      <c r="E14">
        <v>0.0191760618</v>
      </c>
      <c r="F14">
        <v>0.000778297033</v>
      </c>
      <c r="G14">
        <v>0.007</v>
      </c>
      <c r="H14">
        <v>0</v>
      </c>
      <c r="I14">
        <v>0.0277111883</v>
      </c>
      <c r="J14">
        <v>0</v>
      </c>
      <c r="K14">
        <v>0.0470475883</v>
      </c>
      <c r="L14">
        <v>0.0624904226</v>
      </c>
      <c r="M14" s="5">
        <v>5.98544367E-08</v>
      </c>
      <c r="N14">
        <v>0.0200281459</v>
      </c>
      <c r="O14">
        <v>-12532.7912</v>
      </c>
      <c r="P14">
        <v>454968604</v>
      </c>
      <c r="Q14">
        <v>-12249854.1</v>
      </c>
      <c r="R14">
        <v>95450100.3</v>
      </c>
      <c r="S14">
        <v>-53415794</v>
      </c>
      <c r="T14">
        <v>4233.3924</v>
      </c>
      <c r="U14">
        <v>96225.8525</v>
      </c>
      <c r="V14">
        <v>90108.8687</v>
      </c>
      <c r="W14">
        <v>-393626.921</v>
      </c>
      <c r="X14">
        <v>35956.1324</v>
      </c>
    </row>
    <row r="15" spans="1:24" ht="15">
      <c r="A15">
        <v>9</v>
      </c>
      <c r="B15">
        <v>0.8002</v>
      </c>
      <c r="C15">
        <v>0</v>
      </c>
      <c r="D15">
        <v>0.00582459918</v>
      </c>
      <c r="E15">
        <v>0.0219115874</v>
      </c>
      <c r="F15">
        <v>0.000642132652</v>
      </c>
      <c r="G15">
        <v>0.007</v>
      </c>
      <c r="H15">
        <v>0</v>
      </c>
      <c r="I15">
        <v>0.0305147961</v>
      </c>
      <c r="J15">
        <v>0</v>
      </c>
      <c r="K15">
        <v>0.0482540994</v>
      </c>
      <c r="L15">
        <v>0.0639447615</v>
      </c>
      <c r="M15" s="5">
        <v>6.18566642E-08</v>
      </c>
      <c r="N15">
        <v>0.0196631974</v>
      </c>
      <c r="O15">
        <v>-12532.7912</v>
      </c>
      <c r="P15">
        <v>455420270</v>
      </c>
      <c r="Q15">
        <v>-11575636.7</v>
      </c>
      <c r="R15">
        <v>95448765</v>
      </c>
      <c r="S15">
        <v>-52561005</v>
      </c>
      <c r="T15">
        <v>4233.3924</v>
      </c>
      <c r="U15">
        <v>96538.4499</v>
      </c>
      <c r="V15">
        <v>90084.1092</v>
      </c>
      <c r="W15">
        <v>-393626.205</v>
      </c>
      <c r="X15">
        <v>36156.1876</v>
      </c>
    </row>
    <row r="16" spans="1:24" ht="15">
      <c r="A16">
        <v>10</v>
      </c>
      <c r="B16">
        <v>0.9001</v>
      </c>
      <c r="C16">
        <v>0</v>
      </c>
      <c r="D16">
        <v>0.00655176422</v>
      </c>
      <c r="E16">
        <v>0.024647113</v>
      </c>
      <c r="F16">
        <v>0.000509794945</v>
      </c>
      <c r="G16">
        <v>0.007</v>
      </c>
      <c r="H16">
        <v>0</v>
      </c>
      <c r="I16">
        <v>0.0333164906</v>
      </c>
      <c r="J16">
        <v>0</v>
      </c>
      <c r="K16">
        <v>0.0495084459</v>
      </c>
      <c r="L16">
        <v>0.0653990991</v>
      </c>
      <c r="M16" s="5">
        <v>6.43294263E-08</v>
      </c>
      <c r="N16">
        <v>0.0192676339</v>
      </c>
      <c r="O16">
        <v>-12532.7912</v>
      </c>
      <c r="P16">
        <v>455802946</v>
      </c>
      <c r="Q16">
        <v>-10937884.5</v>
      </c>
      <c r="R16">
        <v>95446757.5</v>
      </c>
      <c r="S16">
        <v>-51739916.8</v>
      </c>
      <c r="T16">
        <v>4233.3924</v>
      </c>
      <c r="U16">
        <v>96804.0494</v>
      </c>
      <c r="V16">
        <v>90050.587</v>
      </c>
      <c r="W16">
        <v>-393625.13</v>
      </c>
      <c r="X16">
        <v>36346.6043</v>
      </c>
    </row>
    <row r="17" spans="1:24" ht="15">
      <c r="A17">
        <v>11</v>
      </c>
      <c r="B17">
        <v>1</v>
      </c>
      <c r="C17">
        <v>0</v>
      </c>
      <c r="D17">
        <v>0.00727892925</v>
      </c>
      <c r="E17">
        <v>0.0273826386</v>
      </c>
      <c r="F17">
        <v>0.000383217271</v>
      </c>
      <c r="G17">
        <v>0.007</v>
      </c>
      <c r="H17">
        <v>0</v>
      </c>
      <c r="I17">
        <v>0.036115305</v>
      </c>
      <c r="J17">
        <v>0</v>
      </c>
      <c r="K17">
        <v>0.0508347931</v>
      </c>
      <c r="L17">
        <v>0.066853435</v>
      </c>
      <c r="M17" s="5">
        <v>6.75228574E-08</v>
      </c>
      <c r="N17">
        <v>0.0188259895</v>
      </c>
      <c r="O17">
        <v>-12532.7912</v>
      </c>
      <c r="P17">
        <v>456086393</v>
      </c>
      <c r="Q17">
        <v>-10332670.6</v>
      </c>
      <c r="R17">
        <v>95443729.2</v>
      </c>
      <c r="S17">
        <v>-50940792.3</v>
      </c>
      <c r="T17">
        <v>4233.3924</v>
      </c>
      <c r="U17">
        <v>97002.3636</v>
      </c>
      <c r="V17">
        <v>90007.8979</v>
      </c>
      <c r="W17">
        <v>-393623.518</v>
      </c>
      <c r="X17">
        <v>36534.1786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Muflih Arisa Adnan</dc:creator>
  <cp:keywords/>
  <dc:description/>
  <cp:lastModifiedBy>Cholila</cp:lastModifiedBy>
  <dcterms:created xsi:type="dcterms:W3CDTF">2019-07-31T04:27:21Z</dcterms:created>
  <dcterms:modified xsi:type="dcterms:W3CDTF">2020-02-15T08:24:32Z</dcterms:modified>
  <cp:category/>
  <cp:version/>
  <cp:contentType/>
  <cp:contentStatus/>
</cp:coreProperties>
</file>