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6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6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335" windowHeight="7320" activeTab="0"/>
  </bookViews>
  <sheets>
    <sheet name="Analisis Likopen Vit C" sheetId="17" r:id="rId1"/>
    <sheet name="Drying" sheetId="18" r:id="rId2"/>
    <sheet name="Storage" sheetId="19" r:id="rId3"/>
    <sheet name="ANOVA Analisis" sheetId="20" r:id="rId4"/>
    <sheet name="AN LIKOP STR" sheetId="23" r:id="rId5"/>
    <sheet name="AN vit C STR" sheetId="24" r:id="rId6"/>
    <sheet name="AN moist STR" sheetId="25" r:id="rId7"/>
    <sheet name="CIELAB" sheetId="14" r:id="rId8"/>
    <sheet name="ANOVA STOR" sheetId="22" r:id="rId9"/>
    <sheet name="kurva standar" sheetId="6" r:id="rId10"/>
  </sheets>
  <externalReferences>
    <externalReference r:id="rId13"/>
  </externalReferences>
  <definedNames/>
  <calcPr calcId="152511"/>
</workbook>
</file>

<file path=xl/comments1.xml><?xml version="1.0" encoding="utf-8"?>
<comments xmlns="http://schemas.openxmlformats.org/spreadsheetml/2006/main">
  <authors>
    <author>Windows User</author>
  </authors>
  <commentList>
    <comment ref="H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0.25 g juice diencerkan dlam 100 ml
</t>
        </r>
      </text>
    </comment>
    <comment ref="R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0.25 g bubuk diencerkan dlam 100 ml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E4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0.25 g bubuk diencerkan dlam 100 ml
</t>
        </r>
      </text>
    </comment>
  </commentList>
</comments>
</file>

<file path=xl/sharedStrings.xml><?xml version="1.0" encoding="utf-8"?>
<sst xmlns="http://schemas.openxmlformats.org/spreadsheetml/2006/main" count="643" uniqueCount="186">
  <si>
    <t>Variasi</t>
  </si>
  <si>
    <t>Bubuk Tomat</t>
  </si>
  <si>
    <t>Likopen</t>
  </si>
  <si>
    <t>RUN 1&amp;2</t>
  </si>
  <si>
    <t>Waktu
(menit)</t>
  </si>
  <si>
    <t>Massa tray 1
+ sampel
(gram)</t>
  </si>
  <si>
    <t>Massa tray 2
+ sampel
(gram)</t>
  </si>
  <si>
    <t>Massa tray 3
+ sampel
(gram)</t>
  </si>
  <si>
    <t>-</t>
  </si>
  <si>
    <t>RUN 3&amp;4</t>
  </si>
  <si>
    <t>Waktu Pengeringan</t>
  </si>
  <si>
    <t>Vitamin C
(mg/100 gram jus)</t>
  </si>
  <si>
    <t>A (duplo)</t>
  </si>
  <si>
    <t>A</t>
  </si>
  <si>
    <t>C</t>
  </si>
  <si>
    <t>λ</t>
  </si>
  <si>
    <t>λ max</t>
  </si>
  <si>
    <r>
      <t xml:space="preserve">Penentuan </t>
    </r>
    <r>
      <rPr>
        <b/>
        <sz val="11"/>
        <color theme="1"/>
        <rFont val="Calibri"/>
        <family val="2"/>
      </rPr>
      <t>λ max</t>
    </r>
  </si>
  <si>
    <t>23 Agustus 2019</t>
  </si>
  <si>
    <t>berat tray</t>
  </si>
  <si>
    <t>bubuk</t>
  </si>
  <si>
    <t>LAF</t>
  </si>
  <si>
    <t>Kulkas 1</t>
  </si>
  <si>
    <t>Kulkas 2</t>
  </si>
  <si>
    <t>T ruang 1</t>
  </si>
  <si>
    <t>Terpapar 1</t>
  </si>
  <si>
    <t>Kulkas</t>
  </si>
  <si>
    <t>Terpapar</t>
  </si>
  <si>
    <t>Botol Kaca</t>
  </si>
  <si>
    <t xml:space="preserve">  </t>
  </si>
  <si>
    <t>Run 1</t>
  </si>
  <si>
    <t>Run 2</t>
  </si>
  <si>
    <t>No.</t>
  </si>
  <si>
    <r>
      <t>Likopen
(</t>
    </r>
    <r>
      <rPr>
        <b/>
        <sz val="12"/>
        <color theme="1"/>
        <rFont val="Symbol"/>
        <family val="1"/>
      </rPr>
      <t>m</t>
    </r>
    <r>
      <rPr>
        <b/>
        <sz val="12"/>
        <color theme="1"/>
        <rFont val="Times New Roman"/>
        <family val="1"/>
      </rPr>
      <t>g/100 gram jus)</t>
    </r>
  </si>
  <si>
    <r>
      <t>F</t>
    </r>
    <r>
      <rPr>
        <b/>
        <vertAlign val="subscript"/>
        <sz val="12"/>
        <color theme="1"/>
        <rFont val="Times New Roman"/>
        <family val="1"/>
      </rPr>
      <t>0</t>
    </r>
  </si>
  <si>
    <t>Total</t>
  </si>
  <si>
    <t>Rata-Rata</t>
  </si>
  <si>
    <t>F Tabel</t>
  </si>
  <si>
    <t>a</t>
  </si>
  <si>
    <t>v1</t>
  </si>
  <si>
    <t>v2</t>
  </si>
  <si>
    <t>Kesimpulan</t>
  </si>
  <si>
    <t>H0 = Kadar Vitamin C bubuk tomat tidak dipengaruhi oleh konsentrasi GMS</t>
  </si>
  <si>
    <t>H0 ditolak</t>
  </si>
  <si>
    <t>Uji LSD</t>
  </si>
  <si>
    <t>i</t>
  </si>
  <si>
    <t>j</t>
  </si>
  <si>
    <t>І yi-yj І</t>
  </si>
  <si>
    <t>Konsentrasi</t>
  </si>
  <si>
    <t>Indeks</t>
  </si>
  <si>
    <t>Rata - Rata</t>
  </si>
  <si>
    <t>LSD</t>
  </si>
  <si>
    <t>??</t>
  </si>
  <si>
    <t>&gt;</t>
  </si>
  <si>
    <t>&lt;</t>
  </si>
  <si>
    <t>Penolakan H0</t>
  </si>
  <si>
    <t>H0 diterima</t>
  </si>
  <si>
    <t>4% dan 5% memiliki perbedaan yang signifikan</t>
  </si>
  <si>
    <t>4% dan 6% memiliki perbedaan yang signifikan</t>
  </si>
  <si>
    <t>5% dan 6% memiliki perbedaan yang tidak signifikan</t>
  </si>
  <si>
    <r>
      <t>F</t>
    </r>
    <r>
      <rPr>
        <vertAlign val="subscript"/>
        <sz val="12"/>
        <color theme="1"/>
        <rFont val="Times New Roman"/>
        <family val="1"/>
      </rPr>
      <t xml:space="preserve">0 </t>
    </r>
    <r>
      <rPr>
        <sz val="12"/>
        <color theme="1"/>
        <rFont val="Times New Roman"/>
        <family val="1"/>
      </rPr>
      <t>&gt; F Tabel</t>
    </r>
  </si>
  <si>
    <t>PERANCANGAN PERCOBAAN FAKTOR TUNGGAL</t>
  </si>
  <si>
    <t>ANOVA</t>
  </si>
  <si>
    <t>H0 = Kadar Likopen bubuk tomat tidak dipengaruhi oleh konsentrasi GMS</t>
  </si>
  <si>
    <t>| yi-yj |</t>
  </si>
  <si>
    <t>T ruang</t>
  </si>
  <si>
    <t>Color space</t>
  </si>
  <si>
    <t>L*</t>
  </si>
  <si>
    <t>a*</t>
  </si>
  <si>
    <t>b*</t>
  </si>
  <si>
    <t>X</t>
  </si>
  <si>
    <t>Dry weight</t>
  </si>
  <si>
    <t>Sampel 1 (gr)</t>
  </si>
  <si>
    <t>Sampel 2 (gr)</t>
  </si>
  <si>
    <t>Sampel 3 (gr)</t>
  </si>
  <si>
    <t>X 1</t>
  </si>
  <si>
    <t>X 2</t>
  </si>
  <si>
    <t>X 3</t>
  </si>
  <si>
    <t>Tray area (cm2)</t>
  </si>
  <si>
    <t>N</t>
  </si>
  <si>
    <t>dry weight</t>
  </si>
  <si>
    <t>mg/100 g bubuk</t>
  </si>
  <si>
    <t>Refrigerator</t>
  </si>
  <si>
    <t>Sun exposed</t>
  </si>
  <si>
    <t>mg/100 g</t>
  </si>
  <si>
    <t>waktu (menit)</t>
  </si>
  <si>
    <t>X db</t>
  </si>
  <si>
    <t>MR Vit C (g/mol)</t>
  </si>
  <si>
    <t>MR Lycopene (g/mol)</t>
  </si>
  <si>
    <t>MR I2 (g/mol)</t>
  </si>
  <si>
    <t>Run</t>
  </si>
  <si>
    <t>GMS</t>
  </si>
  <si>
    <t>M I2 (mol/L)</t>
  </si>
  <si>
    <t>mol I2</t>
  </si>
  <si>
    <t>mol Vit C</t>
  </si>
  <si>
    <t>m Vit C (g)</t>
  </si>
  <si>
    <t>Vol I2 (ml)</t>
  </si>
  <si>
    <t>N I2 (mol eq/L)</t>
  </si>
  <si>
    <t>Vit C (mg/100 g)</t>
  </si>
  <si>
    <t>Jus Tomat</t>
  </si>
  <si>
    <t>V sample (ml)</t>
  </si>
  <si>
    <t>Kons sample (g jus/ml sample)</t>
  </si>
  <si>
    <t>Vit C (g/gr jus)</t>
  </si>
  <si>
    <t>Vit C (%w/w)</t>
  </si>
  <si>
    <t>Kons sample (g bubuk/ml sample)</t>
  </si>
  <si>
    <t>Vit C (g/gr bubuk)</t>
  </si>
  <si>
    <t>Solubility vit C in water (g/L)</t>
  </si>
  <si>
    <t>(g/ml)</t>
  </si>
  <si>
    <t>Vit C (g/ml sampel)</t>
  </si>
  <si>
    <t>Abs</t>
  </si>
  <si>
    <t>y (Abs) = 0,3415*x (mg/L)</t>
  </si>
  <si>
    <t>Likopen (mg/L)</t>
  </si>
  <si>
    <t>g bubuk/mL sampel</t>
  </si>
  <si>
    <t>g bubuk/L sampel</t>
  </si>
  <si>
    <t xml:space="preserve"> (mg/g bubuk)</t>
  </si>
  <si>
    <t>(mg/100 g bubuk)</t>
  </si>
  <si>
    <t>g juice/mL sampel</t>
  </si>
  <si>
    <t>g juice/L sampel</t>
  </si>
  <si>
    <t xml:space="preserve"> (mg/g juice)</t>
  </si>
  <si>
    <t>(mg/100 g juice)</t>
  </si>
  <si>
    <t>No GMS</t>
  </si>
  <si>
    <t>SD</t>
  </si>
  <si>
    <t>00</t>
  </si>
  <si>
    <t>Likopen (dalam Jus)</t>
  </si>
  <si>
    <t>mg/100 g jus</t>
  </si>
  <si>
    <t>Vit C (dlam Jus)</t>
  </si>
  <si>
    <t>% Moisture (MC)</t>
  </si>
  <si>
    <t>Juice</t>
  </si>
  <si>
    <t>%-w/w</t>
  </si>
  <si>
    <t>% Air ( Jus)</t>
  </si>
  <si>
    <t>RUN 0</t>
  </si>
  <si>
    <t>Likopen (Abs)</t>
  </si>
  <si>
    <t>Kadar Air (% MC)</t>
  </si>
  <si>
    <t>Penyimpanan pada 5% GMS</t>
  </si>
  <si>
    <t>T ruang 2</t>
  </si>
  <si>
    <t>Terpapar 2</t>
  </si>
  <si>
    <t>Minggu ke-1</t>
  </si>
  <si>
    <t>Minggu ke-3</t>
  </si>
  <si>
    <t>Minggu ke-2</t>
  </si>
  <si>
    <t>Vit C (ml I2)</t>
  </si>
  <si>
    <t>Likopen (mg/100 g bubuk)</t>
  </si>
  <si>
    <t>Minggu ke-0</t>
  </si>
  <si>
    <t xml:space="preserve">Vit C </t>
  </si>
  <si>
    <t>Vit C (mg/100 g bubuk)</t>
  </si>
  <si>
    <t>V sampel (ml)</t>
  </si>
  <si>
    <t>Kadar air (%MC)</t>
  </si>
  <si>
    <t>SD 3</t>
  </si>
  <si>
    <t>% red</t>
  </si>
  <si>
    <t>0% dan 4% memiliki perbedaan yang signifikan</t>
  </si>
  <si>
    <t>0% dan 5% memiliki perbedaan yang signifikan</t>
  </si>
  <si>
    <t>0% dan 6% memiliki perbedaan yang signifikan</t>
  </si>
  <si>
    <t>n</t>
  </si>
  <si>
    <t>5% dan 6% memiliki perbedaan yang signifikan</t>
  </si>
  <si>
    <t>4% dan 6% memiliki perbedaan yang tidak signifikan</t>
  </si>
  <si>
    <t>kadar air
(%-w/w)</t>
  </si>
  <si>
    <r>
      <t>t</t>
    </r>
    <r>
      <rPr>
        <b/>
        <vertAlign val="subscript"/>
        <sz val="12"/>
        <color theme="1"/>
        <rFont val="Symbol"/>
        <family val="1"/>
      </rPr>
      <t>a</t>
    </r>
    <r>
      <rPr>
        <b/>
        <vertAlign val="subscript"/>
        <sz val="12"/>
        <color theme="1"/>
        <rFont val="Times New Roman"/>
        <family val="1"/>
      </rPr>
      <t>/3,4</t>
    </r>
  </si>
  <si>
    <t>H0 = Kadar air bubuk tomat tidak dipengaruhi oleh konsentrasi GMS</t>
  </si>
  <si>
    <t>Source</t>
  </si>
  <si>
    <t>Sum of Square</t>
  </si>
  <si>
    <t>Degree of Freedom</t>
  </si>
  <si>
    <t>Mean Square</t>
  </si>
  <si>
    <t>ONE WAY ANOVA</t>
  </si>
  <si>
    <t>Factor</t>
  </si>
  <si>
    <t>Error</t>
  </si>
  <si>
    <t>Material</t>
  </si>
  <si>
    <t>Glass Bottle</t>
  </si>
  <si>
    <t>Room Temp</t>
  </si>
  <si>
    <t>Anova: Two-Factor With Replication</t>
  </si>
  <si>
    <t>SUMMARY</t>
  </si>
  <si>
    <t>Count</t>
  </si>
  <si>
    <t>Sum</t>
  </si>
  <si>
    <t>Average</t>
  </si>
  <si>
    <t>Variance</t>
  </si>
  <si>
    <t>Source of Variation</t>
  </si>
  <si>
    <t>SS</t>
  </si>
  <si>
    <t>df</t>
  </si>
  <si>
    <t>MS</t>
  </si>
  <si>
    <t>F</t>
  </si>
  <si>
    <t>P-value</t>
  </si>
  <si>
    <t>F crit</t>
  </si>
  <si>
    <t>Material (A)</t>
  </si>
  <si>
    <t>Conditions (B)</t>
  </si>
  <si>
    <t>Interaction (AB)</t>
  </si>
  <si>
    <t>likopen</t>
  </si>
  <si>
    <t>vit C</t>
  </si>
  <si>
    <t>Kadar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</si>
</sst>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00"/>
    <numFmt numFmtId="166" formatCode="0.000"/>
    <numFmt numFmtId="167" formatCode="0.0000"/>
    <numFmt numFmtId="169" formatCode="0.000000"/>
    <numFmt numFmtId="170" formatCode="0.00000"/>
  </numFmts>
  <fonts count="3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Symbol"/>
      <family val="1"/>
    </font>
    <font>
      <b/>
      <i/>
      <sz val="12"/>
      <name val="Times New Roman"/>
      <family val="1"/>
    </font>
    <font>
      <vertAlign val="sub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bscript"/>
      <sz val="12"/>
      <color theme="1"/>
      <name val="Symbol"/>
      <family val="1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8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8.5"/>
      <color theme="1" tint="0.35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>
        <color indexed="1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2"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20">
      <alignment/>
      <protection/>
    </xf>
    <xf numFmtId="0" fontId="2" fillId="0" borderId="3" xfId="20" applyBorder="1" applyAlignment="1">
      <alignment horizontal="center" vertical="center"/>
      <protection/>
    </xf>
    <xf numFmtId="166" fontId="2" fillId="0" borderId="1" xfId="20" applyNumberFormat="1" applyBorder="1" applyAlignment="1">
      <alignment horizontal="center"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2" fontId="9" fillId="0" borderId="1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2" fontId="9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6" fontId="2" fillId="0" borderId="0" xfId="20" applyNumberFormat="1">
      <alignment/>
      <protection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4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7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15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9" fontId="17" fillId="0" borderId="0" xfId="0" applyNumberFormat="1" applyFont="1" applyAlignment="1">
      <alignment/>
    </xf>
    <xf numFmtId="0" fontId="17" fillId="5" borderId="0" xfId="0" applyFont="1" applyFill="1" applyAlignment="1">
      <alignment/>
    </xf>
    <xf numFmtId="0" fontId="17" fillId="5" borderId="0" xfId="0" applyFont="1" applyFill="1" applyAlignment="1">
      <alignment horizontal="right"/>
    </xf>
    <xf numFmtId="0" fontId="17" fillId="5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6" borderId="0" xfId="0" applyFont="1" applyFill="1" applyAlignment="1">
      <alignment/>
    </xf>
    <xf numFmtId="0" fontId="21" fillId="5" borderId="0" xfId="0" applyFont="1" applyFill="1" applyAlignment="1">
      <alignment/>
    </xf>
    <xf numFmtId="166" fontId="21" fillId="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0" fontId="17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166" fontId="20" fillId="6" borderId="0" xfId="0" applyNumberFormat="1" applyFont="1" applyFill="1" applyAlignment="1">
      <alignment/>
    </xf>
    <xf numFmtId="0" fontId="17" fillId="0" borderId="0" xfId="0" applyFont="1" applyAlignment="1">
      <alignment horizontal="right"/>
    </xf>
    <xf numFmtId="166" fontId="17" fillId="0" borderId="0" xfId="0" applyNumberFormat="1" applyFont="1" applyAlignment="1">
      <alignment/>
    </xf>
    <xf numFmtId="166" fontId="1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0" fillId="5" borderId="13" xfId="0" applyFont="1" applyFill="1" applyBorder="1" applyAlignment="1">
      <alignment horizontal="center" wrapText="1"/>
    </xf>
    <xf numFmtId="0" fontId="20" fillId="7" borderId="0" xfId="0" applyFont="1" applyFill="1" applyAlignment="1">
      <alignment/>
    </xf>
    <xf numFmtId="0" fontId="23" fillId="8" borderId="0" xfId="0" applyFont="1" applyFill="1" applyAlignment="1">
      <alignment/>
    </xf>
    <xf numFmtId="0" fontId="17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22" fillId="9" borderId="0" xfId="0" applyFont="1" applyFill="1" applyAlignment="1">
      <alignment/>
    </xf>
    <xf numFmtId="0" fontId="24" fillId="9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167" fontId="17" fillId="9" borderId="0" xfId="0" applyNumberFormat="1" applyFont="1" applyFill="1" applyAlignment="1">
      <alignment horizontal="center"/>
    </xf>
    <xf numFmtId="2" fontId="22" fillId="9" borderId="0" xfId="0" applyNumberFormat="1" applyFont="1" applyFill="1" applyAlignment="1">
      <alignment horizontal="center"/>
    </xf>
    <xf numFmtId="0" fontId="20" fillId="5" borderId="0" xfId="0" applyFont="1" applyFill="1" applyAlignment="1">
      <alignment/>
    </xf>
    <xf numFmtId="166" fontId="17" fillId="5" borderId="0" xfId="0" applyNumberFormat="1" applyFont="1" applyFill="1" applyAlignment="1">
      <alignment/>
    </xf>
    <xf numFmtId="0" fontId="20" fillId="9" borderId="0" xfId="0" applyFont="1" applyFill="1" applyAlignment="1">
      <alignment/>
    </xf>
    <xf numFmtId="2" fontId="1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20" fillId="6" borderId="0" xfId="0" applyNumberFormat="1" applyFont="1" applyFill="1" applyAlignment="1">
      <alignment/>
    </xf>
    <xf numFmtId="9" fontId="17" fillId="0" borderId="0" xfId="0" applyNumberFormat="1" applyFont="1" applyAlignment="1">
      <alignment/>
    </xf>
    <xf numFmtId="9" fontId="17" fillId="0" borderId="0" xfId="15" applyFont="1" applyAlignment="1">
      <alignment/>
    </xf>
    <xf numFmtId="0" fontId="13" fillId="0" borderId="4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2" fontId="9" fillId="0" borderId="9" xfId="15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"/>
          <c:y val="0.051"/>
          <c:w val="0.816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4%-GMS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wer"/>
            <c:dispEq val="0"/>
            <c:dispRSqr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0"/>
            <c:dispRSqr val="0"/>
          </c:trendline>
          <c:xVal>
            <c:numRef>
              <c:f>Drying!$A$3:$A$11</c:f>
              <c:numCache/>
            </c:numRef>
          </c:xVal>
          <c:yVal>
            <c:numRef>
              <c:f>Drying!$K$3:$K$11</c:f>
              <c:numCache/>
            </c:numRef>
          </c:yVal>
          <c:smooth val="0"/>
        </c:ser>
        <c:ser>
          <c:idx val="1"/>
          <c:order val="1"/>
          <c:tx>
            <c:v>5%-GMS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Drying!$N$3:$N$11</c:f>
              <c:numCache/>
            </c:numRef>
          </c:xVal>
          <c:yVal>
            <c:numRef>
              <c:f>Drying!$X$3:$X$11</c:f>
              <c:numCache/>
            </c:numRef>
          </c:yVal>
          <c:smooth val="0"/>
        </c:ser>
        <c:ser>
          <c:idx val="2"/>
          <c:order val="2"/>
          <c:tx>
            <c:v>6%-GMS</c:v>
          </c:tx>
          <c:spPr>
            <a:ln w="12700" cap="rnd">
              <a:solidFill>
                <a:schemeClr val="accent6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Drying!$AA$3:$AA$11</c:f>
              <c:numCache/>
            </c:numRef>
          </c:xVal>
          <c:yVal>
            <c:numRef>
              <c:f>Drying!$AJ$3:$AJ$11</c:f>
              <c:numCache/>
            </c:numRef>
          </c:yVal>
          <c:smooth val="0"/>
        </c:ser>
        <c:axId val="50867442"/>
        <c:axId val="55153795"/>
      </c:scatterChart>
      <c:valAx>
        <c:axId val="50867442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Time [minutes]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153795"/>
        <c:crosses val="autoZero"/>
        <c:crossBetween val="midCat"/>
        <c:dispUnits/>
        <c:majorUnit val="30"/>
      </c:val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X [kg/kg]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67442"/>
        <c:crosses val="autoZero"/>
        <c:crossBetween val="midCat"/>
        <c:dispUnits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5"/>
          <c:y val="0.09125"/>
          <c:w val="0.19475"/>
          <c:h val="0.21275"/>
        </c:manualLayout>
      </c:layout>
      <c:overlay val="0"/>
      <c:spPr>
        <a:noFill/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Kurva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Standar (duplo)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'kurva standar'!$L$4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'kurva standar'!$K$5:$K$9</c:f>
              <c:numCache/>
            </c:numRef>
          </c:xVal>
          <c:yVal>
            <c:numRef>
              <c:f>'kurva standar'!$M$5:$M$9</c:f>
              <c:numCache/>
            </c:numRef>
          </c:yVal>
          <c:smooth val="0"/>
        </c:ser>
        <c:axId val="15996524"/>
        <c:axId val="9750989"/>
      </c:scatterChart>
      <c:valAx>
        <c:axId val="1599652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Konsentrasi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50989"/>
        <c:crosses val="autoZero"/>
        <c:crossBetween val="midCat"/>
        <c:dispUnits/>
      </c:valAx>
      <c:valAx>
        <c:axId val="975098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96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"/>
          <c:y val="0.051"/>
          <c:w val="0.816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4%-GMS</c:v>
          </c:tx>
          <c:spPr>
            <a:ln w="12700" cap="rnd">
              <a:solidFill>
                <a:schemeClr val="tx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alpha val="93000"/>
                </a:schemeClr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wer"/>
            <c:dispEq val="0"/>
            <c:dispRSqr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0"/>
            <c:dispRSqr val="0"/>
          </c:trendline>
          <c:xVal>
            <c:numRef>
              <c:f>Drying!$A$3:$A$11</c:f>
              <c:numCache/>
            </c:numRef>
          </c:xVal>
          <c:yVal>
            <c:numRef>
              <c:f>Drying!$K$3:$K$11</c:f>
              <c:numCache/>
            </c:numRef>
          </c:yVal>
          <c:smooth val="0"/>
        </c:ser>
        <c:ser>
          <c:idx val="1"/>
          <c:order val="1"/>
          <c:tx>
            <c:v>5%-GMS</c:v>
          </c:tx>
          <c:spPr>
            <a:ln w="12700" cap="rnd">
              <a:solidFill>
                <a:schemeClr val="tx2">
                  <a:lumMod val="65000"/>
                  <a:lumOff val="35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>
                  <a:lumMod val="65000"/>
                  <a:lumOff val="35000"/>
                </a:schemeClr>
              </a:solidFill>
              <a:ln w="9525">
                <a:solidFill>
                  <a:schemeClr val="tx2">
                    <a:lumMod val="65000"/>
                    <a:lumOff val="3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Drying!$N$3:$N$11</c:f>
              <c:numCache/>
            </c:numRef>
          </c:xVal>
          <c:yVal>
            <c:numRef>
              <c:f>Drying!$X$3:$X$11</c:f>
              <c:numCache/>
            </c:numRef>
          </c:yVal>
          <c:smooth val="0"/>
        </c:ser>
        <c:ser>
          <c:idx val="2"/>
          <c:order val="2"/>
          <c:tx>
            <c:v>6%-GMS</c:v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Drying!$AA$3:$AA$11</c:f>
              <c:numCache/>
            </c:numRef>
          </c:xVal>
          <c:yVal>
            <c:numRef>
              <c:f>Drying!$AJ$3:$AJ$11</c:f>
              <c:numCache/>
            </c:numRef>
          </c:yVal>
          <c:smooth val="0"/>
        </c:ser>
        <c:axId val="26622108"/>
        <c:axId val="38272381"/>
      </c:scatterChart>
      <c:valAx>
        <c:axId val="26622108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Time [minutes]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272381"/>
        <c:crosses val="autoZero"/>
        <c:crossBetween val="midCat"/>
        <c:dispUnits/>
        <c:majorUnit val="30"/>
      </c:valAx>
      <c:val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X [kg/kg]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622108"/>
        <c:crosses val="autoZero"/>
        <c:crossBetween val="midCat"/>
        <c:dispUnits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865"/>
          <c:y val="0.0615"/>
          <c:w val="0.349"/>
          <c:h val="0.21275"/>
        </c:manualLayout>
      </c:layout>
      <c:overlay val="0"/>
      <c:spPr>
        <a:noFill/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"/>
          <c:y val="0.051"/>
          <c:w val="0.81675"/>
          <c:h val="0.7435"/>
        </c:manualLayout>
      </c:layout>
      <c:scatterChart>
        <c:scatterStyle val="lineMarker"/>
        <c:varyColors val="0"/>
        <c:ser>
          <c:idx val="1"/>
          <c:order val="0"/>
          <c:tx>
            <c:v>Trs 2</c:v>
          </c:tx>
          <c:spPr>
            <a:ln w="19050" cap="rnd">
              <a:solidFill>
                <a:schemeClr val="tx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Drying!$AP$3:$AP$20</c:f>
              <c:numCache/>
            </c:numRef>
          </c:xVal>
          <c:yVal>
            <c:numRef>
              <c:f>Drying!$AQ$3:$AQ$20</c:f>
              <c:numCache/>
            </c:numRef>
          </c:yVal>
          <c:smooth val="0"/>
        </c:ser>
        <c:axId val="8907110"/>
        <c:axId val="13055127"/>
      </c:scatterChart>
      <c:valAx>
        <c:axId val="890711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Time [minutes]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055127"/>
        <c:crosses val="autoZero"/>
        <c:crossBetween val="midCat"/>
        <c:dispUnits/>
        <c:majorUnit val="50"/>
      </c:val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X [kg/kg]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907110"/>
        <c:crosses val="autoZero"/>
        <c:crossBetween val="midCat"/>
        <c:dispUnits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58"/>
          <c:w val="0.81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v>LAF</c:v>
          </c:tx>
          <c:spPr>
            <a:solidFill>
              <a:schemeClr val="tx2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Storage!$Q$25:$Q$27</c:f>
              <c:numCache/>
            </c:numRef>
          </c:val>
        </c:ser>
        <c:ser>
          <c:idx val="1"/>
          <c:order val="1"/>
          <c:tx>
            <c:v>Glass Bottle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Storage!$Q$29:$Q$31</c:f>
              <c:numCache/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Storage Condition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Lycopene (mg/100 g powder)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387280"/>
        <c:crosses val="autoZero"/>
        <c:crossBetween val="between"/>
        <c:dispUnits/>
      </c:valAx>
      <c:spPr>
        <a:noFill/>
        <a:ln>
          <a:solidFill>
            <a:schemeClr val="tx2"/>
          </a:solidFill>
        </a:ln>
      </c:spPr>
    </c:plotArea>
    <c:legend>
      <c:legendPos val="t"/>
      <c:layout>
        <c:manualLayout>
          <c:xMode val="edge"/>
          <c:yMode val="edge"/>
          <c:x val="0.5335"/>
          <c:y val="0.066"/>
          <c:w val="0.44"/>
          <c:h val="0.084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7175"/>
          <c:w val="0.8107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LAF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Storage!$Q$47:$Q$49</c:f>
              <c:numCache/>
            </c:numRef>
          </c:val>
        </c:ser>
        <c:ser>
          <c:idx val="1"/>
          <c:order val="1"/>
          <c:tx>
            <c:v>Glass Bottle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Storage!$Q$51:$Q$53</c:f>
              <c:numCache/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Storage Condition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Vit. C (mg/100 g powder)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837850"/>
        <c:crosses val="autoZero"/>
        <c:crossBetween val="between"/>
        <c:dispUnits/>
      </c:valAx>
      <c:spPr>
        <a:noFill/>
        <a:ln>
          <a:solidFill>
            <a:schemeClr val="tx2"/>
          </a:solidFill>
        </a:ln>
      </c:spPr>
    </c:plotArea>
    <c:legend>
      <c:legendPos val="t"/>
      <c:layout>
        <c:manualLayout>
          <c:xMode val="edge"/>
          <c:yMode val="edge"/>
          <c:x val="0.5405"/>
          <c:y val="0.07925"/>
          <c:w val="0.43975"/>
          <c:h val="0.084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58"/>
          <c:w val="0.81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v>LAF</c:v>
          </c:tx>
          <c:spPr>
            <a:solidFill>
              <a:schemeClr val="tx2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Storage!$Q$6:$Q$8</c:f>
              <c:numCache/>
            </c:numRef>
          </c:val>
        </c:ser>
        <c:ser>
          <c:idx val="1"/>
          <c:order val="1"/>
          <c:tx>
            <c:v>Glass Bottle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Storage!$Q$10:$Q$12</c:f>
              <c:numCache/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Storage Condition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Moisture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680836"/>
        <c:crosses val="autoZero"/>
        <c:crossBetween val="between"/>
        <c:dispUnits/>
      </c:valAx>
      <c:spPr>
        <a:noFill/>
        <a:ln>
          <a:solidFill>
            <a:schemeClr val="tx2"/>
          </a:solidFill>
        </a:ln>
      </c:spPr>
    </c:plotArea>
    <c:legend>
      <c:legendPos val="t"/>
      <c:layout>
        <c:manualLayout>
          <c:xMode val="edge"/>
          <c:yMode val="edge"/>
          <c:x val="0.5335"/>
          <c:y val="0.066"/>
          <c:w val="0.44"/>
          <c:h val="0.084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Penentuan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λ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max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'kurva standar'!$A$5:$A$14</c:f>
              <c:numCache/>
            </c:numRef>
          </c:xVal>
          <c:yVal>
            <c:numRef>
              <c:f>'kurva standar'!$C$5:$C$14</c:f>
              <c:numCache/>
            </c:numRef>
          </c:yVal>
          <c:smooth val="1"/>
        </c:ser>
        <c:axId val="20514766"/>
        <c:axId val="50415167"/>
      </c:scatterChart>
      <c:valAx>
        <c:axId val="20514766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15167"/>
        <c:crosses val="autoZero"/>
        <c:crossBetween val="midCat"/>
        <c:dispUnits/>
      </c:valAx>
      <c:valAx>
        <c:axId val="504151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14766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 verticalDpi="3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Penentuan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λ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max (duplo)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duplo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'kurva standar'!$A$5:$A$14</c:f>
              <c:numCache/>
            </c:numRef>
          </c:xVal>
          <c:yVal>
            <c:numRef>
              <c:f>'kurva standar'!$C$5:$C$14</c:f>
              <c:numCache/>
            </c:numRef>
          </c:yVal>
          <c:smooth val="1"/>
        </c:ser>
        <c:axId val="51083320"/>
        <c:axId val="57096697"/>
      </c:scatterChart>
      <c:valAx>
        <c:axId val="5108332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96697"/>
        <c:crosses val="autoZero"/>
        <c:crossBetween val="midCat"/>
        <c:dispUnits/>
      </c:valAx>
      <c:valAx>
        <c:axId val="57096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083320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 verticalDpi="3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Kurva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Standar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'kurva standar'!$L$4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'kurva standar'!$K$5:$K$9</c:f>
              <c:numCache/>
            </c:numRef>
          </c:xVal>
          <c:yVal>
            <c:numRef>
              <c:f>'kurva standar'!$N$5:$N$9</c:f>
              <c:numCache/>
            </c:numRef>
          </c:yVal>
          <c:smooth val="0"/>
        </c:ser>
        <c:axId val="44108226"/>
        <c:axId val="61429715"/>
      </c:scatterChart>
      <c:valAx>
        <c:axId val="4410822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Konsentrasi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29715"/>
        <c:crosses val="autoZero"/>
        <c:crossBetween val="midCat"/>
        <c:dispUnits/>
      </c:valAx>
      <c:valAx>
        <c:axId val="6142971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08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16</xdr:row>
      <xdr:rowOff>19050</xdr:rowOff>
    </xdr:from>
    <xdr:to>
      <xdr:col>10</xdr:col>
      <xdr:colOff>190500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4829175" y="37242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33</xdr:row>
      <xdr:rowOff>47625</xdr:rowOff>
    </xdr:from>
    <xdr:to>
      <xdr:col>8</xdr:col>
      <xdr:colOff>676275</xdr:colOff>
      <xdr:row>44</xdr:row>
      <xdr:rowOff>142875</xdr:rowOff>
    </xdr:to>
    <xdr:graphicFrame macro="">
      <xdr:nvGraphicFramePr>
        <xdr:cNvPr id="4" name="Chart 3"/>
        <xdr:cNvGraphicFramePr/>
      </xdr:nvGraphicFramePr>
      <xdr:xfrm>
        <a:off x="4924425" y="6838950"/>
        <a:ext cx="3038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314325</xdr:colOff>
      <xdr:row>4</xdr:row>
      <xdr:rowOff>19050</xdr:rowOff>
    </xdr:from>
    <xdr:to>
      <xdr:col>48</xdr:col>
      <xdr:colOff>647700</xdr:colOff>
      <xdr:row>14</xdr:row>
      <xdr:rowOff>57150</xdr:rowOff>
    </xdr:to>
    <xdr:graphicFrame macro="">
      <xdr:nvGraphicFramePr>
        <xdr:cNvPr id="6" name="Chart 5"/>
        <xdr:cNvGraphicFramePr/>
      </xdr:nvGraphicFramePr>
      <xdr:xfrm>
        <a:off x="36871275" y="1362075"/>
        <a:ext cx="30384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23</xdr:row>
      <xdr:rowOff>76200</xdr:rowOff>
    </xdr:from>
    <xdr:to>
      <xdr:col>23</xdr:col>
      <xdr:colOff>457200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15668625" y="4238625"/>
        <a:ext cx="3657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171450</xdr:colOff>
      <xdr:row>44</xdr:row>
      <xdr:rowOff>47625</xdr:rowOff>
    </xdr:from>
    <xdr:to>
      <xdr:col>23</xdr:col>
      <xdr:colOff>400050</xdr:colOff>
      <xdr:row>62</xdr:row>
      <xdr:rowOff>9525</xdr:rowOff>
    </xdr:to>
    <xdr:graphicFrame macro="">
      <xdr:nvGraphicFramePr>
        <xdr:cNvPr id="3" name="Chart 2"/>
        <xdr:cNvGraphicFramePr/>
      </xdr:nvGraphicFramePr>
      <xdr:xfrm>
        <a:off x="15611475" y="8010525"/>
        <a:ext cx="36576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285750</xdr:colOff>
      <xdr:row>1</xdr:row>
      <xdr:rowOff>57150</xdr:rowOff>
    </xdr:from>
    <xdr:to>
      <xdr:col>23</xdr:col>
      <xdr:colOff>514350</xdr:colOff>
      <xdr:row>19</xdr:row>
      <xdr:rowOff>19050</xdr:rowOff>
    </xdr:to>
    <xdr:graphicFrame macro="">
      <xdr:nvGraphicFramePr>
        <xdr:cNvPr id="4" name="Chart 3"/>
        <xdr:cNvGraphicFramePr/>
      </xdr:nvGraphicFramePr>
      <xdr:xfrm>
        <a:off x="15725775" y="228600"/>
        <a:ext cx="365760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7</xdr:col>
      <xdr:colOff>466725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676275" y="2905125"/>
        <a:ext cx="4524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28</xdr:row>
      <xdr:rowOff>171450</xdr:rowOff>
    </xdr:from>
    <xdr:to>
      <xdr:col>7</xdr:col>
      <xdr:colOff>476250</xdr:colOff>
      <xdr:row>41</xdr:row>
      <xdr:rowOff>161925</xdr:rowOff>
    </xdr:to>
    <xdr:graphicFrame macro="">
      <xdr:nvGraphicFramePr>
        <xdr:cNvPr id="3" name="Chart 2"/>
        <xdr:cNvGraphicFramePr/>
      </xdr:nvGraphicFramePr>
      <xdr:xfrm>
        <a:off x="619125" y="5429250"/>
        <a:ext cx="45910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9</xdr:row>
      <xdr:rowOff>190500</xdr:rowOff>
    </xdr:from>
    <xdr:to>
      <xdr:col>15</xdr:col>
      <xdr:colOff>276225</xdr:colOff>
      <xdr:row>21</xdr:row>
      <xdr:rowOff>152400</xdr:rowOff>
    </xdr:to>
    <xdr:graphicFrame macro="">
      <xdr:nvGraphicFramePr>
        <xdr:cNvPr id="4" name="Chart 3"/>
        <xdr:cNvGraphicFramePr/>
      </xdr:nvGraphicFramePr>
      <xdr:xfrm>
        <a:off x="6467475" y="1952625"/>
        <a:ext cx="39528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22</xdr:row>
      <xdr:rowOff>104775</xdr:rowOff>
    </xdr:from>
    <xdr:to>
      <xdr:col>15</xdr:col>
      <xdr:colOff>304800</xdr:colOff>
      <xdr:row>34</xdr:row>
      <xdr:rowOff>76200</xdr:rowOff>
    </xdr:to>
    <xdr:graphicFrame macro="">
      <xdr:nvGraphicFramePr>
        <xdr:cNvPr id="5" name="Chart 4"/>
        <xdr:cNvGraphicFramePr/>
      </xdr:nvGraphicFramePr>
      <xdr:xfrm>
        <a:off x="6496050" y="4276725"/>
        <a:ext cx="39528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OMAT\Hasil%20Penl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-8"/>
      <sheetName val="23-8 "/>
    </sheetNames>
    <sheetDataSet>
      <sheetData sheetId="0">
        <row r="5">
          <cell r="A5">
            <v>325</v>
          </cell>
          <cell r="C5">
            <v>0.193</v>
          </cell>
        </row>
        <row r="6">
          <cell r="A6">
            <v>350</v>
          </cell>
          <cell r="C6">
            <v>0.255</v>
          </cell>
        </row>
        <row r="7">
          <cell r="A7">
            <v>375</v>
          </cell>
          <cell r="C7">
            <v>0.224</v>
          </cell>
        </row>
        <row r="8">
          <cell r="A8">
            <v>400</v>
          </cell>
          <cell r="C8">
            <v>0.339</v>
          </cell>
        </row>
        <row r="9">
          <cell r="A9">
            <v>425</v>
          </cell>
          <cell r="C9">
            <v>0.587</v>
          </cell>
        </row>
        <row r="10">
          <cell r="A10">
            <v>450</v>
          </cell>
          <cell r="C10">
            <v>0.834</v>
          </cell>
        </row>
        <row r="11">
          <cell r="A11">
            <v>475</v>
          </cell>
          <cell r="C11">
            <v>1.076</v>
          </cell>
        </row>
        <row r="12">
          <cell r="A12">
            <v>500</v>
          </cell>
          <cell r="C12">
            <v>0.946</v>
          </cell>
        </row>
        <row r="13">
          <cell r="A13">
            <v>525</v>
          </cell>
          <cell r="C13">
            <v>0.129</v>
          </cell>
        </row>
        <row r="14">
          <cell r="A14">
            <v>550</v>
          </cell>
          <cell r="C14">
            <v>0.003</v>
          </cell>
        </row>
        <row r="15">
          <cell r="A15">
            <v>0.00299999862909317</v>
          </cell>
          <cell r="C15">
            <v>0.00299999862909317</v>
          </cell>
        </row>
        <row r="16">
          <cell r="A16">
            <v>0.00299999862909317</v>
          </cell>
          <cell r="C16">
            <v>0.00299999862909317</v>
          </cell>
        </row>
        <row r="17">
          <cell r="A17">
            <v>0.00299999862909317</v>
          </cell>
          <cell r="C17">
            <v>0.00299999862909317</v>
          </cell>
        </row>
        <row r="18">
          <cell r="A18">
            <v>0.00299999862909317</v>
          </cell>
          <cell r="C18">
            <v>0.00299999862909317</v>
          </cell>
        </row>
        <row r="19">
          <cell r="A19">
            <v>0.00299999862909317</v>
          </cell>
          <cell r="C19">
            <v>0.00299999862909317</v>
          </cell>
        </row>
        <row r="20">
          <cell r="A20">
            <v>0.00299999862909317</v>
          </cell>
          <cell r="C20">
            <v>0.00299999862909317</v>
          </cell>
        </row>
        <row r="21">
          <cell r="A21">
            <v>0.00299999862909317</v>
          </cell>
          <cell r="C21">
            <v>0.00299999862909317</v>
          </cell>
        </row>
        <row r="22">
          <cell r="A22">
            <v>0.00299999862909317</v>
          </cell>
          <cell r="C22">
            <v>0.00299999862909317</v>
          </cell>
        </row>
        <row r="23">
          <cell r="A23">
            <v>0.00299999862909317</v>
          </cell>
          <cell r="C23">
            <v>0.00299999862909317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47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F44" sqref="F44"/>
    </sheetView>
  </sheetViews>
  <sheetFormatPr defaultColWidth="9.00390625" defaultRowHeight="14.25"/>
  <cols>
    <col min="1" max="1" width="11.125" style="63" customWidth="1"/>
    <col min="2" max="2" width="9.00390625" style="63" customWidth="1"/>
    <col min="3" max="3" width="9.625" style="63" bestFit="1" customWidth="1"/>
    <col min="4" max="4" width="11.25390625" style="63" customWidth="1"/>
    <col min="5" max="5" width="11.125" style="63" customWidth="1"/>
    <col min="6" max="6" width="10.875" style="63" bestFit="1" customWidth="1"/>
    <col min="7" max="7" width="10.125" style="63" customWidth="1"/>
    <col min="8" max="8" width="23.75390625" style="63" bestFit="1" customWidth="1"/>
    <col min="9" max="9" width="10.875" style="63" customWidth="1"/>
    <col min="10" max="10" width="12.75390625" style="63" bestFit="1" customWidth="1"/>
    <col min="11" max="11" width="10.25390625" style="63" bestFit="1" customWidth="1"/>
    <col min="12" max="16" width="9.00390625" style="63" customWidth="1"/>
    <col min="17" max="17" width="26.125" style="63" bestFit="1" customWidth="1"/>
    <col min="18" max="18" width="14.625" style="63" customWidth="1"/>
    <col min="19" max="19" width="12.75390625" style="63" bestFit="1" customWidth="1"/>
    <col min="20" max="21" width="9.00390625" style="63" customWidth="1"/>
    <col min="22" max="22" width="10.875" style="63" bestFit="1" customWidth="1"/>
    <col min="23" max="28" width="9.00390625" style="63" customWidth="1"/>
    <col min="29" max="16384" width="9.00390625" style="63" customWidth="1"/>
  </cols>
  <sheetData>
    <row r="1" spans="1:4" ht="14.25">
      <c r="A1" s="63" t="s">
        <v>87</v>
      </c>
      <c r="B1" s="63">
        <v>176.12</v>
      </c>
      <c r="C1" s="63" t="s">
        <v>97</v>
      </c>
      <c r="D1" s="63">
        <v>0.005</v>
      </c>
    </row>
    <row r="2" spans="1:4" ht="14.25">
      <c r="A2" s="63" t="s">
        <v>88</v>
      </c>
      <c r="B2" s="63">
        <v>536.873</v>
      </c>
      <c r="C2" s="63" t="s">
        <v>92</v>
      </c>
      <c r="D2" s="63">
        <f>D1/1</f>
        <v>0.005</v>
      </c>
    </row>
    <row r="3" spans="1:20" ht="14.25">
      <c r="A3" s="63" t="s">
        <v>89</v>
      </c>
      <c r="B3" s="63">
        <v>253.8</v>
      </c>
      <c r="C3" s="63" t="s">
        <v>106</v>
      </c>
      <c r="D3" s="63">
        <v>330</v>
      </c>
      <c r="R3" s="82" t="s">
        <v>120</v>
      </c>
      <c r="S3" s="111">
        <f>V8</f>
        <v>50.72256</v>
      </c>
      <c r="T3" s="83" t="s">
        <v>81</v>
      </c>
    </row>
    <row r="4" spans="3:11" ht="14.25">
      <c r="C4" s="63" t="s">
        <v>107</v>
      </c>
      <c r="D4" s="63">
        <f>D3/1000</f>
        <v>0.33</v>
      </c>
      <c r="I4" s="82" t="s">
        <v>125</v>
      </c>
      <c r="J4" s="83">
        <f>AVERAGE(J8:J15)</f>
        <v>28.00308</v>
      </c>
      <c r="K4" s="83" t="s">
        <v>124</v>
      </c>
    </row>
    <row r="5" ht="12.75"/>
    <row r="6" spans="3:21" ht="14.25">
      <c r="C6" s="129" t="s">
        <v>99</v>
      </c>
      <c r="D6" s="129"/>
      <c r="E6" s="129"/>
      <c r="F6" s="129"/>
      <c r="G6" s="129"/>
      <c r="H6" s="129"/>
      <c r="I6" s="129"/>
      <c r="J6" s="129"/>
      <c r="K6" s="77"/>
      <c r="M6" s="105" t="s">
        <v>1</v>
      </c>
      <c r="N6" s="105"/>
      <c r="O6" s="105"/>
      <c r="P6" s="105"/>
      <c r="Q6" s="105"/>
      <c r="R6" s="105"/>
      <c r="S6" s="105"/>
      <c r="T6" s="105"/>
      <c r="U6" s="105"/>
    </row>
    <row r="7" spans="1:26" ht="14.25">
      <c r="A7" s="63" t="s">
        <v>90</v>
      </c>
      <c r="B7" s="63" t="s">
        <v>91</v>
      </c>
      <c r="C7" s="63" t="s">
        <v>96</v>
      </c>
      <c r="D7" s="63" t="s">
        <v>93</v>
      </c>
      <c r="E7" s="63" t="s">
        <v>94</v>
      </c>
      <c r="F7" s="63" t="s">
        <v>95</v>
      </c>
      <c r="G7" s="63" t="s">
        <v>100</v>
      </c>
      <c r="H7" s="63" t="s">
        <v>101</v>
      </c>
      <c r="I7" s="63" t="s">
        <v>102</v>
      </c>
      <c r="J7" s="63" t="s">
        <v>98</v>
      </c>
      <c r="K7" s="63" t="s">
        <v>103</v>
      </c>
      <c r="L7" s="63" t="s">
        <v>121</v>
      </c>
      <c r="M7" s="79" t="s">
        <v>96</v>
      </c>
      <c r="N7" s="79" t="s">
        <v>93</v>
      </c>
      <c r="O7" s="79" t="s">
        <v>94</v>
      </c>
      <c r="P7" s="79" t="s">
        <v>95</v>
      </c>
      <c r="Q7" s="79" t="s">
        <v>100</v>
      </c>
      <c r="R7" s="79" t="s">
        <v>104</v>
      </c>
      <c r="S7" s="79" t="s">
        <v>105</v>
      </c>
      <c r="T7" s="84" t="s">
        <v>98</v>
      </c>
      <c r="U7" s="79" t="s">
        <v>103</v>
      </c>
      <c r="V7" s="87" t="s">
        <v>98</v>
      </c>
      <c r="W7" s="66" t="s">
        <v>121</v>
      </c>
      <c r="X7" s="63" t="s">
        <v>147</v>
      </c>
      <c r="Y7" s="63" t="s">
        <v>108</v>
      </c>
      <c r="Z7" s="63" t="s">
        <v>84</v>
      </c>
    </row>
    <row r="8" spans="1:23" ht="15.75" customHeight="1">
      <c r="A8" s="89" t="s">
        <v>122</v>
      </c>
      <c r="B8" s="64">
        <v>0</v>
      </c>
      <c r="C8" s="63">
        <v>0.2</v>
      </c>
      <c r="D8" s="63">
        <f aca="true" t="shared" si="0" ref="D8:D9">$D$2*C8/1000</f>
        <v>1E-06</v>
      </c>
      <c r="E8" s="63">
        <f aca="true" t="shared" si="1" ref="E8:E9">D8</f>
        <v>1E-06</v>
      </c>
      <c r="F8" s="63">
        <f aca="true" t="shared" si="2" ref="F8:F9">E8*$B$1</f>
        <v>0.00017612</v>
      </c>
      <c r="G8" s="63">
        <v>25</v>
      </c>
      <c r="H8" s="66">
        <f>2.5/100</f>
        <v>0.025</v>
      </c>
      <c r="I8" s="63">
        <f aca="true" t="shared" si="3" ref="I8:I9">F8/(G8*H8)</f>
        <v>0.000281792</v>
      </c>
      <c r="J8" s="63">
        <f aca="true" t="shared" si="4" ref="J8:J9">I8*1000*100</f>
        <v>28.179199999999998</v>
      </c>
      <c r="K8" s="78">
        <f aca="true" t="shared" si="5" ref="K8:K9">I8*100</f>
        <v>0.0281792</v>
      </c>
      <c r="L8" s="63">
        <f>STDEV(J8:J9)</f>
        <v>0.9962851704205958</v>
      </c>
      <c r="M8" s="79">
        <v>0.34</v>
      </c>
      <c r="N8" s="79">
        <f aca="true" t="shared" si="6" ref="N8:N9">$D$2*M8/1000</f>
        <v>1.7E-06</v>
      </c>
      <c r="O8" s="79">
        <f aca="true" t="shared" si="7" ref="O8:O9">N8</f>
        <v>1.7E-06</v>
      </c>
      <c r="P8" s="79">
        <f>O8*$B$1</f>
        <v>0.000299404</v>
      </c>
      <c r="Q8" s="79">
        <v>25</v>
      </c>
      <c r="R8" s="81">
        <f>2.5/100</f>
        <v>0.025</v>
      </c>
      <c r="S8" s="79">
        <f>P8/(Q8*R8)</f>
        <v>0.00047904640000000004</v>
      </c>
      <c r="T8" s="85">
        <f aca="true" t="shared" si="8" ref="T8:T9">S8*1000*100</f>
        <v>47.90464</v>
      </c>
      <c r="U8" s="79">
        <f aca="true" t="shared" si="9" ref="U8:U9">S8*100</f>
        <v>0.047904640000000005</v>
      </c>
      <c r="V8" s="109">
        <f>AVERAGE(T8:T9)</f>
        <v>50.72256</v>
      </c>
      <c r="W8" s="88">
        <f>STDEV(T8:T9)</f>
        <v>3.985140681682393</v>
      </c>
    </row>
    <row r="9" spans="1:23" ht="15.75" customHeight="1">
      <c r="A9" s="89" t="s">
        <v>122</v>
      </c>
      <c r="B9" s="64">
        <v>0</v>
      </c>
      <c r="C9" s="63">
        <v>0.19</v>
      </c>
      <c r="D9" s="63">
        <f t="shared" si="0"/>
        <v>9.5E-07</v>
      </c>
      <c r="E9" s="63">
        <f t="shared" si="1"/>
        <v>9.5E-07</v>
      </c>
      <c r="F9" s="63">
        <f t="shared" si="2"/>
        <v>0.000167314</v>
      </c>
      <c r="G9" s="63">
        <v>25</v>
      </c>
      <c r="H9" s="66">
        <f aca="true" t="shared" si="10" ref="H9:H15">2.5/100</f>
        <v>0.025</v>
      </c>
      <c r="I9" s="63">
        <f t="shared" si="3"/>
        <v>0.0002677024</v>
      </c>
      <c r="J9" s="63">
        <f t="shared" si="4"/>
        <v>26.77024</v>
      </c>
      <c r="K9" s="78">
        <f t="shared" si="5"/>
        <v>0.02677024</v>
      </c>
      <c r="M9" s="79">
        <v>0.38</v>
      </c>
      <c r="N9" s="79">
        <f t="shared" si="6"/>
        <v>1.9E-06</v>
      </c>
      <c r="O9" s="79">
        <f t="shared" si="7"/>
        <v>1.9E-06</v>
      </c>
      <c r="P9" s="79">
        <f aca="true" t="shared" si="11" ref="P9">O9*$B$1</f>
        <v>0.000334628</v>
      </c>
      <c r="Q9" s="79">
        <v>25</v>
      </c>
      <c r="R9" s="81">
        <f aca="true" t="shared" si="12" ref="R9:R15">2.5/100</f>
        <v>0.025</v>
      </c>
      <c r="S9" s="79">
        <f aca="true" t="shared" si="13" ref="S9">P9/(Q9*R9)</f>
        <v>0.0005354048</v>
      </c>
      <c r="T9" s="85">
        <f t="shared" si="8"/>
        <v>53.54048</v>
      </c>
      <c r="U9" s="79">
        <f t="shared" si="9"/>
        <v>0.05354048</v>
      </c>
      <c r="V9" s="110"/>
      <c r="W9" s="66"/>
    </row>
    <row r="10" spans="1:26" ht="14.25">
      <c r="A10" s="63">
        <v>1</v>
      </c>
      <c r="B10" s="64">
        <v>0.04</v>
      </c>
      <c r="C10" s="63">
        <v>0.2</v>
      </c>
      <c r="D10" s="63">
        <f aca="true" t="shared" si="14" ref="D10:D15">$D$2*C10/1000</f>
        <v>1E-06</v>
      </c>
      <c r="E10" s="63">
        <f aca="true" t="shared" si="15" ref="E10:E15">D10</f>
        <v>1E-06</v>
      </c>
      <c r="F10" s="63">
        <f aca="true" t="shared" si="16" ref="F10:F15">E10*$B$1</f>
        <v>0.00017612</v>
      </c>
      <c r="G10" s="63">
        <v>25</v>
      </c>
      <c r="H10" s="66">
        <f t="shared" si="10"/>
        <v>0.025</v>
      </c>
      <c r="I10" s="63">
        <f aca="true" t="shared" si="17" ref="I10:I15">F10/(G10*H10)</f>
        <v>0.000281792</v>
      </c>
      <c r="J10" s="63">
        <f aca="true" t="shared" si="18" ref="J10:J15">I10*1000*100</f>
        <v>28.179199999999998</v>
      </c>
      <c r="K10" s="78">
        <f aca="true" t="shared" si="19" ref="K10:K15">I10*100</f>
        <v>0.0281792</v>
      </c>
      <c r="L10" s="63">
        <f>STDEV(J10:J11)</f>
        <v>0</v>
      </c>
      <c r="M10" s="80">
        <v>0.7</v>
      </c>
      <c r="N10" s="79">
        <f aca="true" t="shared" si="20" ref="N10:N15">$D$2*M10/1000</f>
        <v>3.4999999999999995E-06</v>
      </c>
      <c r="O10" s="79">
        <f aca="true" t="shared" si="21" ref="O10:O15">N10</f>
        <v>3.4999999999999995E-06</v>
      </c>
      <c r="P10" s="79">
        <f aca="true" t="shared" si="22" ref="P10:P15">O10*$B$1</f>
        <v>0.0006164199999999999</v>
      </c>
      <c r="Q10" s="79">
        <v>25</v>
      </c>
      <c r="R10" s="81">
        <f t="shared" si="12"/>
        <v>0.025</v>
      </c>
      <c r="S10" s="79">
        <f aca="true" t="shared" si="23" ref="S10:S15">P10/(Q10*R10)</f>
        <v>0.0009862719999999998</v>
      </c>
      <c r="T10" s="85">
        <f aca="true" t="shared" si="24" ref="T10:T15">S10*1000*100</f>
        <v>98.62719999999999</v>
      </c>
      <c r="U10" s="79">
        <f aca="true" t="shared" si="25" ref="U10:U15">S10*100</f>
        <v>0.09862719999999998</v>
      </c>
      <c r="V10" s="109">
        <f>AVERAGE(T10:T11)</f>
        <v>102.14959999999999</v>
      </c>
      <c r="W10" s="88">
        <f>STDEV(T10:T11)</f>
        <v>4.981425852102986</v>
      </c>
      <c r="Y10" s="63">
        <f>P10/Q10</f>
        <v>2.4656799999999997E-05</v>
      </c>
      <c r="Z10" s="63">
        <f>Y10*1000*100</f>
        <v>2.4656799999999994</v>
      </c>
    </row>
    <row r="11" spans="1:23" ht="14.25">
      <c r="A11" s="63">
        <v>2</v>
      </c>
      <c r="B11" s="64">
        <v>0.04</v>
      </c>
      <c r="C11" s="63">
        <v>0.2</v>
      </c>
      <c r="D11" s="63">
        <f t="shared" si="14"/>
        <v>1E-06</v>
      </c>
      <c r="E11" s="63">
        <f t="shared" si="15"/>
        <v>1E-06</v>
      </c>
      <c r="F11" s="63">
        <f t="shared" si="16"/>
        <v>0.00017612</v>
      </c>
      <c r="G11" s="63">
        <v>25</v>
      </c>
      <c r="H11" s="66">
        <f t="shared" si="10"/>
        <v>0.025</v>
      </c>
      <c r="I11" s="63">
        <f t="shared" si="17"/>
        <v>0.000281792</v>
      </c>
      <c r="J11" s="63">
        <f t="shared" si="18"/>
        <v>28.179199999999998</v>
      </c>
      <c r="K11" s="78">
        <f t="shared" si="19"/>
        <v>0.0281792</v>
      </c>
      <c r="M11" s="80">
        <v>0.75</v>
      </c>
      <c r="N11" s="79">
        <f t="shared" si="20"/>
        <v>3.7499999999999997E-06</v>
      </c>
      <c r="O11" s="79">
        <f t="shared" si="21"/>
        <v>3.7499999999999997E-06</v>
      </c>
      <c r="P11" s="79">
        <f t="shared" si="22"/>
        <v>0.0006604499999999999</v>
      </c>
      <c r="Q11" s="79">
        <v>25</v>
      </c>
      <c r="R11" s="81">
        <f t="shared" si="12"/>
        <v>0.025</v>
      </c>
      <c r="S11" s="79">
        <f t="shared" si="23"/>
        <v>0.00105672</v>
      </c>
      <c r="T11" s="85">
        <f t="shared" si="24"/>
        <v>105.67199999999998</v>
      </c>
      <c r="U11" s="79">
        <f t="shared" si="25"/>
        <v>0.10567199999999999</v>
      </c>
      <c r="V11" s="109"/>
      <c r="W11" s="88"/>
    </row>
    <row r="12" spans="1:23" ht="14.25">
      <c r="A12" s="63">
        <v>3</v>
      </c>
      <c r="B12" s="64">
        <v>0.05</v>
      </c>
      <c r="C12" s="63">
        <v>0.21</v>
      </c>
      <c r="D12" s="63">
        <f t="shared" si="14"/>
        <v>1.05E-06</v>
      </c>
      <c r="E12" s="63">
        <f t="shared" si="15"/>
        <v>1.05E-06</v>
      </c>
      <c r="F12" s="63">
        <f t="shared" si="16"/>
        <v>0.000184926</v>
      </c>
      <c r="G12" s="63">
        <v>25</v>
      </c>
      <c r="H12" s="66">
        <f t="shared" si="10"/>
        <v>0.025</v>
      </c>
      <c r="I12" s="63">
        <f t="shared" si="17"/>
        <v>0.0002958816</v>
      </c>
      <c r="J12" s="63">
        <f t="shared" si="18"/>
        <v>29.588160000000002</v>
      </c>
      <c r="K12" s="78">
        <f t="shared" si="19"/>
        <v>0.02958816</v>
      </c>
      <c r="L12" s="63">
        <f>STDEV(J12:J13)</f>
        <v>0.9962851704206008</v>
      </c>
      <c r="M12" s="80">
        <v>0.9</v>
      </c>
      <c r="N12" s="79">
        <f t="shared" si="20"/>
        <v>4.5E-06</v>
      </c>
      <c r="O12" s="79">
        <f t="shared" si="21"/>
        <v>4.5E-06</v>
      </c>
      <c r="P12" s="79">
        <f t="shared" si="22"/>
        <v>0.00079254</v>
      </c>
      <c r="Q12" s="79">
        <v>25</v>
      </c>
      <c r="R12" s="81">
        <f t="shared" si="12"/>
        <v>0.025</v>
      </c>
      <c r="S12" s="79">
        <f t="shared" si="23"/>
        <v>0.001268064</v>
      </c>
      <c r="T12" s="85">
        <f t="shared" si="24"/>
        <v>126.80639999999998</v>
      </c>
      <c r="U12" s="79">
        <f t="shared" si="25"/>
        <v>0.12680639999999999</v>
      </c>
      <c r="V12" s="109">
        <f>AVERAGE(T12:T13)</f>
        <v>123.28399999999998</v>
      </c>
      <c r="W12" s="88">
        <f>STDEV(T12:T13)</f>
        <v>4.981425852102997</v>
      </c>
    </row>
    <row r="13" spans="1:23" ht="14.25">
      <c r="A13" s="63">
        <v>4</v>
      </c>
      <c r="B13" s="64">
        <v>0.05</v>
      </c>
      <c r="C13" s="63">
        <v>0.2</v>
      </c>
      <c r="D13" s="63">
        <f t="shared" si="14"/>
        <v>1E-06</v>
      </c>
      <c r="E13" s="63">
        <f t="shared" si="15"/>
        <v>1E-06</v>
      </c>
      <c r="F13" s="63">
        <f t="shared" si="16"/>
        <v>0.00017612</v>
      </c>
      <c r="G13" s="63">
        <v>25</v>
      </c>
      <c r="H13" s="66">
        <f t="shared" si="10"/>
        <v>0.025</v>
      </c>
      <c r="I13" s="63">
        <f t="shared" si="17"/>
        <v>0.000281792</v>
      </c>
      <c r="J13" s="63">
        <f t="shared" si="18"/>
        <v>28.179199999999998</v>
      </c>
      <c r="K13" s="78">
        <f t="shared" si="19"/>
        <v>0.0281792</v>
      </c>
      <c r="M13" s="80">
        <v>0.85</v>
      </c>
      <c r="N13" s="79">
        <f t="shared" si="20"/>
        <v>4.25E-06</v>
      </c>
      <c r="O13" s="79">
        <f t="shared" si="21"/>
        <v>4.25E-06</v>
      </c>
      <c r="P13" s="79">
        <f t="shared" si="22"/>
        <v>0.00074851</v>
      </c>
      <c r="Q13" s="79">
        <v>25</v>
      </c>
      <c r="R13" s="81">
        <f t="shared" si="12"/>
        <v>0.025</v>
      </c>
      <c r="S13" s="79">
        <f t="shared" si="23"/>
        <v>0.0011976159999999999</v>
      </c>
      <c r="T13" s="85">
        <f t="shared" si="24"/>
        <v>119.76159999999997</v>
      </c>
      <c r="U13" s="79">
        <f t="shared" si="25"/>
        <v>0.11976159999999998</v>
      </c>
      <c r="V13" s="109"/>
      <c r="W13" s="88"/>
    </row>
    <row r="14" spans="1:23" ht="14.25">
      <c r="A14" s="63">
        <v>5</v>
      </c>
      <c r="B14" s="65">
        <v>0.06</v>
      </c>
      <c r="C14" s="63">
        <v>0.19</v>
      </c>
      <c r="D14" s="63">
        <f t="shared" si="14"/>
        <v>9.5E-07</v>
      </c>
      <c r="E14" s="63">
        <f t="shared" si="15"/>
        <v>9.5E-07</v>
      </c>
      <c r="F14" s="63">
        <f t="shared" si="16"/>
        <v>0.000167314</v>
      </c>
      <c r="G14" s="63">
        <v>25</v>
      </c>
      <c r="H14" s="66">
        <f t="shared" si="10"/>
        <v>0.025</v>
      </c>
      <c r="I14" s="63">
        <f t="shared" si="17"/>
        <v>0.0002677024</v>
      </c>
      <c r="J14" s="63">
        <f t="shared" si="18"/>
        <v>26.77024</v>
      </c>
      <c r="K14" s="78">
        <f t="shared" si="19"/>
        <v>0.02677024</v>
      </c>
      <c r="L14" s="63">
        <f>STDEV(J14:J15)</f>
        <v>0.9962851704205958</v>
      </c>
      <c r="M14" s="80">
        <v>0.9</v>
      </c>
      <c r="N14" s="79">
        <f t="shared" si="20"/>
        <v>4.5E-06</v>
      </c>
      <c r="O14" s="79">
        <f t="shared" si="21"/>
        <v>4.5E-06</v>
      </c>
      <c r="P14" s="79">
        <f t="shared" si="22"/>
        <v>0.00079254</v>
      </c>
      <c r="Q14" s="79">
        <v>25</v>
      </c>
      <c r="R14" s="81">
        <f t="shared" si="12"/>
        <v>0.025</v>
      </c>
      <c r="S14" s="79">
        <f t="shared" si="23"/>
        <v>0.001268064</v>
      </c>
      <c r="T14" s="85">
        <f t="shared" si="24"/>
        <v>126.80639999999998</v>
      </c>
      <c r="U14" s="79">
        <f t="shared" si="25"/>
        <v>0.12680639999999999</v>
      </c>
      <c r="V14" s="109">
        <f>AVERAGE(T14:T15)</f>
        <v>126.10192</v>
      </c>
      <c r="W14" s="88">
        <f>STDEV(T14:T15)</f>
        <v>0.9962851704205732</v>
      </c>
    </row>
    <row r="15" spans="1:21" ht="14.25">
      <c r="A15" s="63">
        <v>6</v>
      </c>
      <c r="B15" s="65">
        <v>0.06</v>
      </c>
      <c r="C15" s="63">
        <v>0.2</v>
      </c>
      <c r="D15" s="63">
        <f t="shared" si="14"/>
        <v>1E-06</v>
      </c>
      <c r="E15" s="63">
        <f t="shared" si="15"/>
        <v>1E-06</v>
      </c>
      <c r="F15" s="63">
        <f t="shared" si="16"/>
        <v>0.00017612</v>
      </c>
      <c r="G15" s="63">
        <v>25</v>
      </c>
      <c r="H15" s="66">
        <f t="shared" si="10"/>
        <v>0.025</v>
      </c>
      <c r="I15" s="63">
        <f t="shared" si="17"/>
        <v>0.000281792</v>
      </c>
      <c r="J15" s="63">
        <f t="shared" si="18"/>
        <v>28.179199999999998</v>
      </c>
      <c r="K15" s="78">
        <f t="shared" si="19"/>
        <v>0.0281792</v>
      </c>
      <c r="M15" s="80">
        <v>0.89</v>
      </c>
      <c r="N15" s="79">
        <f t="shared" si="20"/>
        <v>4.45E-06</v>
      </c>
      <c r="O15" s="79">
        <f t="shared" si="21"/>
        <v>4.45E-06</v>
      </c>
      <c r="P15" s="79">
        <f t="shared" si="22"/>
        <v>0.000783734</v>
      </c>
      <c r="Q15" s="79">
        <v>25</v>
      </c>
      <c r="R15" s="81">
        <f t="shared" si="12"/>
        <v>0.025</v>
      </c>
      <c r="S15" s="79">
        <f t="shared" si="23"/>
        <v>0.0012539744</v>
      </c>
      <c r="T15" s="85">
        <f t="shared" si="24"/>
        <v>125.39744000000002</v>
      </c>
      <c r="U15" s="79">
        <f t="shared" si="25"/>
        <v>0.12539744</v>
      </c>
    </row>
    <row r="16" ht="14.25">
      <c r="L16" s="63">
        <f>STDEV(J8:J15)</f>
        <v>0.9029601169486943</v>
      </c>
    </row>
    <row r="19" spans="3:11" ht="14.25">
      <c r="C19" s="82" t="s">
        <v>123</v>
      </c>
      <c r="E19" s="90">
        <f>F32</f>
        <v>4.685212298682284</v>
      </c>
      <c r="F19" s="83" t="s">
        <v>124</v>
      </c>
      <c r="I19" s="82" t="s">
        <v>120</v>
      </c>
      <c r="J19" s="90">
        <f>L24</f>
        <v>17.27672035139092</v>
      </c>
      <c r="K19" s="83" t="s">
        <v>81</v>
      </c>
    </row>
    <row r="20" spans="2:10" ht="14.25">
      <c r="B20" s="63" t="s">
        <v>110</v>
      </c>
      <c r="D20" s="63">
        <f>0.25/100</f>
        <v>0.0025</v>
      </c>
      <c r="E20" s="63" t="s">
        <v>116</v>
      </c>
      <c r="I20" s="63">
        <f>D20</f>
        <v>0.0025</v>
      </c>
      <c r="J20" s="63" t="s">
        <v>112</v>
      </c>
    </row>
    <row r="21" spans="4:10" ht="14.25">
      <c r="D21" s="63">
        <f>D20/10^-3</f>
        <v>2.5</v>
      </c>
      <c r="E21" s="63" t="s">
        <v>117</v>
      </c>
      <c r="I21" s="63">
        <f>I20/10^-3</f>
        <v>2.5</v>
      </c>
      <c r="J21" s="63" t="s">
        <v>113</v>
      </c>
    </row>
    <row r="22" spans="3:11" ht="14.25">
      <c r="C22" s="82" t="s">
        <v>99</v>
      </c>
      <c r="H22" s="130" t="s">
        <v>1</v>
      </c>
      <c r="I22" s="130"/>
      <c r="J22" s="130"/>
      <c r="K22" s="130"/>
    </row>
    <row r="23" spans="1:13" ht="14.25">
      <c r="A23" s="63" t="s">
        <v>90</v>
      </c>
      <c r="B23" s="63" t="s">
        <v>91</v>
      </c>
      <c r="C23" s="66" t="s">
        <v>109</v>
      </c>
      <c r="D23" s="63" t="s">
        <v>111</v>
      </c>
      <c r="E23" s="63" t="s">
        <v>118</v>
      </c>
      <c r="F23" s="63" t="s">
        <v>119</v>
      </c>
      <c r="G23" s="63" t="s">
        <v>121</v>
      </c>
      <c r="H23" s="81" t="s">
        <v>109</v>
      </c>
      <c r="I23" s="79" t="s">
        <v>111</v>
      </c>
      <c r="J23" s="79" t="s">
        <v>114</v>
      </c>
      <c r="K23" s="84" t="s">
        <v>115</v>
      </c>
      <c r="L23" s="87" t="s">
        <v>115</v>
      </c>
      <c r="M23" s="66" t="s">
        <v>121</v>
      </c>
    </row>
    <row r="24" spans="1:13" ht="14.25">
      <c r="A24" s="89" t="s">
        <v>122</v>
      </c>
      <c r="B24" s="64">
        <v>0</v>
      </c>
      <c r="C24" s="91">
        <v>0.04</v>
      </c>
      <c r="D24" s="63">
        <f>C24/0.3415</f>
        <v>0.11713030746705709</v>
      </c>
      <c r="E24" s="63">
        <f>D24/$D$21</f>
        <v>0.046852122986822835</v>
      </c>
      <c r="F24" s="63">
        <f>E24*100</f>
        <v>4.685212298682283</v>
      </c>
      <c r="H24" s="81">
        <v>0.142</v>
      </c>
      <c r="I24" s="79">
        <f>H24/0.3415</f>
        <v>0.41581259150805266</v>
      </c>
      <c r="J24" s="79">
        <f>I24/$I$21</f>
        <v>0.16632503660322107</v>
      </c>
      <c r="K24" s="85">
        <f>J24*100</f>
        <v>16.632503660322108</v>
      </c>
      <c r="L24" s="109">
        <f>AVERAGE(K24:K25)</f>
        <v>17.27672035139092</v>
      </c>
      <c r="M24" s="88">
        <f>STDEV(K24:K25)</f>
        <v>0.9110599816166336</v>
      </c>
    </row>
    <row r="25" spans="1:13" ht="14.25">
      <c r="A25" s="89" t="s">
        <v>122</v>
      </c>
      <c r="B25" s="64">
        <v>0</v>
      </c>
      <c r="C25" s="91">
        <v>0.039</v>
      </c>
      <c r="D25" s="63">
        <f>C25/0.3415</f>
        <v>0.11420204978038066</v>
      </c>
      <c r="E25" s="63">
        <f>D25/$D$21</f>
        <v>0.04568081991215227</v>
      </c>
      <c r="F25" s="63">
        <f>E25*100</f>
        <v>4.568081991215227</v>
      </c>
      <c r="H25" s="81">
        <v>0.153</v>
      </c>
      <c r="I25" s="79">
        <f>H25/0.3415</f>
        <v>0.44802342606149337</v>
      </c>
      <c r="J25" s="79">
        <f>I25/$I$21</f>
        <v>0.17920937042459734</v>
      </c>
      <c r="K25" s="85">
        <f>J25*100</f>
        <v>17.920937042459734</v>
      </c>
      <c r="L25" s="110"/>
      <c r="M25" s="66"/>
    </row>
    <row r="26" spans="1:13" ht="14.25">
      <c r="A26" s="63">
        <v>1</v>
      </c>
      <c r="B26" s="64">
        <v>0.04</v>
      </c>
      <c r="C26" s="63">
        <v>0.041</v>
      </c>
      <c r="D26" s="63">
        <f>C26/0.3415</f>
        <v>0.12005856515373352</v>
      </c>
      <c r="E26" s="63">
        <f>D26/$D$21</f>
        <v>0.04802342606149341</v>
      </c>
      <c r="F26" s="63">
        <f>E26*100</f>
        <v>4.802342606149341</v>
      </c>
      <c r="H26" s="81">
        <v>0.242</v>
      </c>
      <c r="I26" s="79">
        <f>H26/0.3415</f>
        <v>0.7086383601756954</v>
      </c>
      <c r="J26" s="79">
        <f>I26/$I$21</f>
        <v>0.28345534407027817</v>
      </c>
      <c r="K26" s="85">
        <f>J26*100</f>
        <v>28.345534407027817</v>
      </c>
      <c r="L26" s="109">
        <f>AVERAGE(K26:K27)</f>
        <v>27.994143484626644</v>
      </c>
      <c r="M26" s="88">
        <f>STDEV(K26:K27)</f>
        <v>0.4969418081545302</v>
      </c>
    </row>
    <row r="27" spans="1:13" ht="14.25">
      <c r="A27" s="63">
        <v>2</v>
      </c>
      <c r="B27" s="64">
        <v>0.04</v>
      </c>
      <c r="C27" s="63">
        <v>0.042</v>
      </c>
      <c r="D27" s="63">
        <f aca="true" t="shared" si="26" ref="D27:D31">C27/0.3415</f>
        <v>0.12298682284040996</v>
      </c>
      <c r="E27" s="63">
        <f aca="true" t="shared" si="27" ref="E27:E31">D27/$D$21</f>
        <v>0.04919472913616398</v>
      </c>
      <c r="F27" s="63">
        <f aca="true" t="shared" si="28" ref="F27:F31">E27*100</f>
        <v>4.919472913616398</v>
      </c>
      <c r="H27" s="81">
        <v>0.236</v>
      </c>
      <c r="I27" s="79">
        <f aca="true" t="shared" si="29" ref="I27:I31">H27/0.3415</f>
        <v>0.6910688140556368</v>
      </c>
      <c r="J27" s="79">
        <f aca="true" t="shared" si="30" ref="J27:J31">I27/$I$21</f>
        <v>0.2764275256222547</v>
      </c>
      <c r="K27" s="85">
        <f aca="true" t="shared" si="31" ref="K27:K31">J27*100</f>
        <v>27.64275256222547</v>
      </c>
      <c r="L27" s="109"/>
      <c r="M27" s="88"/>
    </row>
    <row r="28" spans="1:13" ht="14.25">
      <c r="A28" s="63">
        <v>3</v>
      </c>
      <c r="B28" s="64">
        <v>0.05</v>
      </c>
      <c r="C28" s="63">
        <v>0.04</v>
      </c>
      <c r="D28" s="63">
        <f t="shared" si="26"/>
        <v>0.11713030746705709</v>
      </c>
      <c r="E28" s="63">
        <f t="shared" si="27"/>
        <v>0.046852122986822835</v>
      </c>
      <c r="F28" s="63">
        <f t="shared" si="28"/>
        <v>4.685212298682283</v>
      </c>
      <c r="H28" s="81">
        <v>0.369</v>
      </c>
      <c r="I28" s="79">
        <f t="shared" si="29"/>
        <v>1.0805270863836016</v>
      </c>
      <c r="J28" s="79">
        <f t="shared" si="30"/>
        <v>0.43221083455344067</v>
      </c>
      <c r="K28" s="85">
        <f t="shared" si="31"/>
        <v>43.221083455344065</v>
      </c>
      <c r="L28" s="109">
        <f>AVERAGE(K28:K29)</f>
        <v>42.57686676427525</v>
      </c>
      <c r="M28" s="88">
        <f>STDEV(K28:K29)</f>
        <v>0.9110599816166336</v>
      </c>
    </row>
    <row r="29" spans="1:13" ht="14.25">
      <c r="A29" s="63">
        <v>4</v>
      </c>
      <c r="B29" s="64">
        <v>0.05</v>
      </c>
      <c r="C29" s="63">
        <v>0.041</v>
      </c>
      <c r="D29" s="63">
        <f t="shared" si="26"/>
        <v>0.12005856515373352</v>
      </c>
      <c r="E29" s="63">
        <f t="shared" si="27"/>
        <v>0.04802342606149341</v>
      </c>
      <c r="F29" s="63">
        <f t="shared" si="28"/>
        <v>4.802342606149341</v>
      </c>
      <c r="H29" s="81">
        <v>0.358</v>
      </c>
      <c r="I29" s="79">
        <f t="shared" si="29"/>
        <v>1.048316251830161</v>
      </c>
      <c r="J29" s="79">
        <f t="shared" si="30"/>
        <v>0.4193265007320644</v>
      </c>
      <c r="K29" s="85">
        <f t="shared" si="31"/>
        <v>41.93265007320644</v>
      </c>
      <c r="L29" s="109"/>
      <c r="M29" s="88"/>
    </row>
    <row r="30" spans="1:13" ht="14.25">
      <c r="A30" s="63">
        <v>5</v>
      </c>
      <c r="B30" s="65">
        <v>0.06</v>
      </c>
      <c r="C30" s="63">
        <v>0.039</v>
      </c>
      <c r="D30" s="63">
        <f t="shared" si="26"/>
        <v>0.11420204978038066</v>
      </c>
      <c r="E30" s="63">
        <f t="shared" si="27"/>
        <v>0.04568081991215227</v>
      </c>
      <c r="F30" s="63">
        <f t="shared" si="28"/>
        <v>4.568081991215227</v>
      </c>
      <c r="H30" s="81">
        <v>0.37</v>
      </c>
      <c r="I30" s="79">
        <f t="shared" si="29"/>
        <v>1.083455344070278</v>
      </c>
      <c r="J30" s="79">
        <f t="shared" si="30"/>
        <v>0.43338213762811123</v>
      </c>
      <c r="K30" s="85">
        <f t="shared" si="31"/>
        <v>43.33821376281112</v>
      </c>
      <c r="L30" s="109">
        <f>AVERAGE(K30:K31)</f>
        <v>44.158125915080525</v>
      </c>
      <c r="M30" s="88">
        <f>STDEV(K30:K31)</f>
        <v>1.1595308856939037</v>
      </c>
    </row>
    <row r="31" spans="1:11" ht="14.25">
      <c r="A31" s="63">
        <v>6</v>
      </c>
      <c r="B31" s="65">
        <v>0.06</v>
      </c>
      <c r="C31" s="63">
        <v>0.038</v>
      </c>
      <c r="D31" s="63">
        <f t="shared" si="26"/>
        <v>0.11127379209370424</v>
      </c>
      <c r="E31" s="63">
        <f t="shared" si="27"/>
        <v>0.044509516837481694</v>
      </c>
      <c r="F31" s="63">
        <f t="shared" si="28"/>
        <v>4.450951683748169</v>
      </c>
      <c r="H31" s="81">
        <v>0.384</v>
      </c>
      <c r="I31" s="79">
        <f t="shared" si="29"/>
        <v>1.1244509516837482</v>
      </c>
      <c r="J31" s="79">
        <f t="shared" si="30"/>
        <v>0.4497803806734993</v>
      </c>
      <c r="K31" s="85">
        <f t="shared" si="31"/>
        <v>44.97803806734993</v>
      </c>
    </row>
    <row r="32" spans="6:7" ht="14.25">
      <c r="F32" s="86">
        <f>AVERAGE(F24:F31)</f>
        <v>4.685212298682284</v>
      </c>
      <c r="G32" s="63">
        <f>STDEV(F24:F31)</f>
        <v>0.15335957146892604</v>
      </c>
    </row>
    <row r="34" spans="3:5" ht="14.25">
      <c r="C34" s="82" t="s">
        <v>129</v>
      </c>
      <c r="D34" s="83">
        <f>C47</f>
        <v>94.45875000000001</v>
      </c>
      <c r="E34" s="83" t="s">
        <v>128</v>
      </c>
    </row>
    <row r="37" spans="3:8" ht="14.25">
      <c r="C37" s="63" t="s">
        <v>127</v>
      </c>
      <c r="F37" s="107" t="s">
        <v>1</v>
      </c>
      <c r="G37" s="107"/>
      <c r="H37" s="107"/>
    </row>
    <row r="38" spans="1:8" ht="14.25">
      <c r="A38" s="63" t="s">
        <v>90</v>
      </c>
      <c r="B38" s="63" t="s">
        <v>91</v>
      </c>
      <c r="C38" s="63" t="s">
        <v>126</v>
      </c>
      <c r="D38" s="63" t="s">
        <v>126</v>
      </c>
      <c r="E38" s="63" t="s">
        <v>121</v>
      </c>
      <c r="F38" s="99" t="s">
        <v>126</v>
      </c>
      <c r="G38" s="100" t="s">
        <v>126</v>
      </c>
      <c r="H38" s="98" t="s">
        <v>121</v>
      </c>
    </row>
    <row r="39" spans="1:8" ht="14.25">
      <c r="A39" s="89" t="s">
        <v>122</v>
      </c>
      <c r="B39" s="64">
        <v>0</v>
      </c>
      <c r="C39" s="63">
        <v>93.51</v>
      </c>
      <c r="D39" s="66">
        <f>AVERAGE(C39:C40)</f>
        <v>93.87</v>
      </c>
      <c r="E39" s="93">
        <f>STDEV(C39:C40)</f>
        <v>0.5091168824543134</v>
      </c>
      <c r="F39" s="101">
        <v>7.3</v>
      </c>
      <c r="G39" s="102">
        <f>AVERAGE(F39:F40)</f>
        <v>7.0600000000000005</v>
      </c>
      <c r="H39" s="103">
        <f>STDEV(F39:F40)</f>
        <v>0.3394112549695425</v>
      </c>
    </row>
    <row r="40" spans="1:8" ht="14.25">
      <c r="A40" s="89" t="s">
        <v>122</v>
      </c>
      <c r="B40" s="64">
        <v>0</v>
      </c>
      <c r="C40" s="63">
        <v>94.23</v>
      </c>
      <c r="D40" s="66"/>
      <c r="E40" s="93"/>
      <c r="F40" s="101">
        <v>6.82</v>
      </c>
      <c r="G40" s="102"/>
      <c r="H40" s="103"/>
    </row>
    <row r="41" spans="1:8" ht="14.25">
      <c r="A41" s="63">
        <v>1</v>
      </c>
      <c r="B41" s="64">
        <v>0.04</v>
      </c>
      <c r="C41" s="63">
        <v>93.64</v>
      </c>
      <c r="D41" s="66">
        <f>AVERAGE(C41:C42)</f>
        <v>93.695</v>
      </c>
      <c r="E41" s="93">
        <f>STDEV(C41:C42)</f>
        <v>0.07778174593051983</v>
      </c>
      <c r="F41" s="101">
        <v>1.65</v>
      </c>
      <c r="G41" s="104">
        <f>AVERAGE(F41:F42)</f>
        <v>1.605</v>
      </c>
      <c r="H41" s="103">
        <f>STDEV(F41:F42)</f>
        <v>0.06363961030678918</v>
      </c>
    </row>
    <row r="42" spans="1:8" ht="14.25">
      <c r="A42" s="63">
        <v>2</v>
      </c>
      <c r="B42" s="64">
        <v>0.04</v>
      </c>
      <c r="C42" s="63">
        <v>93.75</v>
      </c>
      <c r="D42" s="66"/>
      <c r="E42" s="93"/>
      <c r="F42" s="101">
        <v>1.56</v>
      </c>
      <c r="G42" s="102"/>
      <c r="H42" s="103"/>
    </row>
    <row r="43" spans="1:8" ht="14.25">
      <c r="A43" s="63">
        <v>3</v>
      </c>
      <c r="B43" s="64">
        <v>0.05</v>
      </c>
      <c r="C43" s="63">
        <v>93.85</v>
      </c>
      <c r="D43" s="66">
        <f>AVERAGE(C43:C44)</f>
        <v>95.16</v>
      </c>
      <c r="E43" s="93">
        <f>STDEV(C43:C44)</f>
        <v>1.8526197667087578</v>
      </c>
      <c r="F43" s="101">
        <v>1.12</v>
      </c>
      <c r="G43" s="102">
        <f>AVERAGE(F43:F44)</f>
        <v>1.09</v>
      </c>
      <c r="H43" s="103">
        <f>STDEV(F43:F44)</f>
        <v>0.04242640687119289</v>
      </c>
    </row>
    <row r="44" spans="1:8" ht="14.25">
      <c r="A44" s="63">
        <v>4</v>
      </c>
      <c r="B44" s="64">
        <v>0.05</v>
      </c>
      <c r="C44" s="63">
        <v>96.47</v>
      </c>
      <c r="D44" s="66"/>
      <c r="E44" s="93"/>
      <c r="F44" s="101">
        <v>1.06</v>
      </c>
      <c r="G44" s="102"/>
      <c r="H44" s="103"/>
    </row>
    <row r="45" spans="1:8" ht="14.25">
      <c r="A45" s="63">
        <v>5</v>
      </c>
      <c r="B45" s="65">
        <v>0.06</v>
      </c>
      <c r="C45" s="63">
        <v>94.47</v>
      </c>
      <c r="D45" s="66">
        <f>AVERAGE(C45:C46)</f>
        <v>95.11</v>
      </c>
      <c r="E45" s="93">
        <f>STDEV(C45:C46)</f>
        <v>0.9050966799187816</v>
      </c>
      <c r="F45" s="101">
        <v>1.69</v>
      </c>
      <c r="G45" s="104">
        <f>AVERAGE(F45:F46)</f>
        <v>1.705</v>
      </c>
      <c r="H45" s="103">
        <f>STDEV(F45:F46)</f>
        <v>0.021213203435596444</v>
      </c>
    </row>
    <row r="46" spans="1:8" ht="14.25">
      <c r="A46" s="63">
        <v>6</v>
      </c>
      <c r="B46" s="65">
        <v>0.06</v>
      </c>
      <c r="C46" s="63">
        <v>95.75</v>
      </c>
      <c r="F46" s="101">
        <v>1.72</v>
      </c>
      <c r="G46" s="98"/>
      <c r="H46" s="98"/>
    </row>
    <row r="47" spans="3:8" ht="14.25">
      <c r="C47" s="108">
        <f>AVERAGE(C39:C46)</f>
        <v>94.45875000000001</v>
      </c>
      <c r="E47" s="93">
        <f>STDEV(C39:C46)</f>
        <v>1.082872337812726</v>
      </c>
      <c r="F47" s="98"/>
      <c r="G47" s="98"/>
      <c r="H47" s="98"/>
    </row>
  </sheetData>
  <mergeCells count="2">
    <mergeCell ref="C6:J6"/>
    <mergeCell ref="H22:K2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10" zoomScaleNormal="110" workbookViewId="0" topLeftCell="A1">
      <selection activeCell="A5" sqref="A5"/>
    </sheetView>
  </sheetViews>
  <sheetFormatPr defaultColWidth="8.875" defaultRowHeight="14.25"/>
  <cols>
    <col min="1" max="16384" width="8.875" style="12" customWidth="1"/>
  </cols>
  <sheetData>
    <row r="1" spans="1:2" ht="14.25">
      <c r="A1" s="22" t="s">
        <v>18</v>
      </c>
      <c r="B1" s="22"/>
    </row>
    <row r="2" spans="1:2" ht="14.25">
      <c r="A2" s="22" t="s">
        <v>17</v>
      </c>
      <c r="B2" s="22"/>
    </row>
    <row r="3" spans="11:12" ht="15.75">
      <c r="K3" s="21" t="s">
        <v>16</v>
      </c>
      <c r="L3" s="21">
        <v>470</v>
      </c>
    </row>
    <row r="4" spans="1:13" ht="15.75">
      <c r="A4" s="20" t="s">
        <v>15</v>
      </c>
      <c r="B4" s="19" t="s">
        <v>13</v>
      </c>
      <c r="C4" s="19" t="s">
        <v>12</v>
      </c>
      <c r="K4" s="18" t="s">
        <v>14</v>
      </c>
      <c r="L4" s="18" t="s">
        <v>13</v>
      </c>
      <c r="M4" s="18" t="s">
        <v>12</v>
      </c>
    </row>
    <row r="5" spans="1:14" ht="15.75">
      <c r="A5" s="16">
        <v>325</v>
      </c>
      <c r="B5" s="14">
        <v>0.201</v>
      </c>
      <c r="C5" s="14">
        <v>0.195</v>
      </c>
      <c r="D5" s="43">
        <f>AVERAGE(B5:C5)</f>
        <v>0.198</v>
      </c>
      <c r="K5" s="17">
        <v>3</v>
      </c>
      <c r="L5" s="17">
        <v>1.016</v>
      </c>
      <c r="M5" s="17">
        <v>1.028</v>
      </c>
      <c r="N5" s="12">
        <f>AVERAGE(L5:M5)</f>
        <v>1.022</v>
      </c>
    </row>
    <row r="6" spans="1:14" ht="15.75">
      <c r="A6" s="16">
        <v>350</v>
      </c>
      <c r="B6" s="14">
        <v>0.228</v>
      </c>
      <c r="C6" s="14">
        <v>0.243</v>
      </c>
      <c r="D6" s="43">
        <f aca="true" t="shared" si="0" ref="D6:D14">AVERAGE(B6:C6)</f>
        <v>0.2355</v>
      </c>
      <c r="K6" s="17">
        <v>2.5</v>
      </c>
      <c r="L6" s="17">
        <v>0.841</v>
      </c>
      <c r="M6" s="17">
        <v>0.84</v>
      </c>
      <c r="N6" s="12">
        <f>AVERAGE(L6:M6)</f>
        <v>0.8405</v>
      </c>
    </row>
    <row r="7" spans="1:14" ht="15.75">
      <c r="A7" s="16">
        <v>375</v>
      </c>
      <c r="B7" s="14">
        <v>0.2</v>
      </c>
      <c r="C7" s="14">
        <v>0.211</v>
      </c>
      <c r="D7" s="43">
        <f t="shared" si="0"/>
        <v>0.20550000000000002</v>
      </c>
      <c r="K7" s="17">
        <v>2</v>
      </c>
      <c r="L7" s="17">
        <v>0.682</v>
      </c>
      <c r="M7" s="17">
        <v>0.683</v>
      </c>
      <c r="N7" s="12">
        <f>AVERAGE(L7:M7)</f>
        <v>0.6825000000000001</v>
      </c>
    </row>
    <row r="8" spans="1:14" ht="15.75">
      <c r="A8" s="16">
        <v>400</v>
      </c>
      <c r="B8" s="14">
        <v>0.307</v>
      </c>
      <c r="C8" s="14">
        <v>0.319</v>
      </c>
      <c r="D8" s="43">
        <f t="shared" si="0"/>
        <v>0.313</v>
      </c>
      <c r="K8" s="17">
        <v>1.5</v>
      </c>
      <c r="L8" s="17">
        <v>0.527</v>
      </c>
      <c r="M8" s="17">
        <v>0.527</v>
      </c>
      <c r="N8" s="12">
        <f>AVERAGE(L8:M8)</f>
        <v>0.527</v>
      </c>
    </row>
    <row r="9" spans="1:14" ht="15.75">
      <c r="A9" s="16">
        <v>425</v>
      </c>
      <c r="B9" s="14">
        <v>0.525</v>
      </c>
      <c r="C9" s="14">
        <v>0.536</v>
      </c>
      <c r="D9" s="43">
        <f t="shared" si="0"/>
        <v>0.5305</v>
      </c>
      <c r="K9" s="17">
        <v>1</v>
      </c>
      <c r="L9" s="17">
        <v>0.344</v>
      </c>
      <c r="M9" s="17">
        <v>0.343</v>
      </c>
      <c r="N9" s="12">
        <f>AVERAGE(L9:M9)</f>
        <v>0.3435</v>
      </c>
    </row>
    <row r="10" spans="1:4" ht="15">
      <c r="A10" s="16">
        <v>450</v>
      </c>
      <c r="B10" s="14">
        <v>0.73</v>
      </c>
      <c r="C10" s="14">
        <v>0.74</v>
      </c>
      <c r="D10" s="43">
        <f t="shared" si="0"/>
        <v>0.735</v>
      </c>
    </row>
    <row r="11" spans="1:4" ht="15">
      <c r="A11" s="16">
        <v>470</v>
      </c>
      <c r="B11" s="14">
        <v>1.016</v>
      </c>
      <c r="C11" s="14">
        <v>1.028</v>
      </c>
      <c r="D11" s="43">
        <f t="shared" si="0"/>
        <v>1.022</v>
      </c>
    </row>
    <row r="12" spans="1:4" ht="15">
      <c r="A12" s="16">
        <v>500</v>
      </c>
      <c r="B12" s="14">
        <v>0.838</v>
      </c>
      <c r="C12" s="14">
        <v>0.841</v>
      </c>
      <c r="D12" s="43">
        <f t="shared" si="0"/>
        <v>0.8394999999999999</v>
      </c>
    </row>
    <row r="13" spans="1:4" ht="15">
      <c r="A13" s="16">
        <v>525</v>
      </c>
      <c r="B13" s="14">
        <v>0.112</v>
      </c>
      <c r="C13" s="14">
        <v>0.111</v>
      </c>
      <c r="D13" s="43">
        <f t="shared" si="0"/>
        <v>0.1115</v>
      </c>
    </row>
    <row r="14" spans="1:4" ht="15">
      <c r="A14" s="15">
        <v>550</v>
      </c>
      <c r="B14" s="14">
        <v>0.009</v>
      </c>
      <c r="C14" s="14">
        <v>0.003</v>
      </c>
      <c r="D14" s="43">
        <f t="shared" si="0"/>
        <v>0.006</v>
      </c>
    </row>
    <row r="15" ht="15">
      <c r="A15" s="13"/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Q36"/>
  <sheetViews>
    <sheetView zoomScale="80" zoomScaleNormal="80" workbookViewId="0" topLeftCell="A1">
      <selection activeCell="AQ18" sqref="AQ18:AQ20"/>
    </sheetView>
  </sheetViews>
  <sheetFormatPr defaultColWidth="8.875" defaultRowHeight="14.25"/>
  <cols>
    <col min="2" max="2" width="12.00390625" style="0" customWidth="1"/>
    <col min="3" max="3" width="11.625" style="0" customWidth="1"/>
    <col min="4" max="12" width="12.625" style="0" customWidth="1"/>
    <col min="15" max="16" width="12.00390625" style="0" customWidth="1"/>
    <col min="17" max="25" width="12.625" style="0" customWidth="1"/>
    <col min="28" max="28" width="12.00390625" style="0" customWidth="1"/>
    <col min="29" max="29" width="11.625" style="0" customWidth="1"/>
    <col min="30" max="30" width="12.625" style="0" customWidth="1"/>
  </cols>
  <sheetData>
    <row r="1" spans="1:42" ht="16.5" thickBot="1">
      <c r="A1" s="4" t="s">
        <v>3</v>
      </c>
      <c r="B1" s="7">
        <v>0.04</v>
      </c>
      <c r="C1" s="5"/>
      <c r="N1" s="4" t="s">
        <v>9</v>
      </c>
      <c r="O1" s="7">
        <v>0.05</v>
      </c>
      <c r="P1" s="5"/>
      <c r="AA1" s="4" t="s">
        <v>9</v>
      </c>
      <c r="AB1" s="7">
        <v>0.06</v>
      </c>
      <c r="AC1" s="5"/>
      <c r="AP1" s="94" t="s">
        <v>130</v>
      </c>
    </row>
    <row r="2" spans="1:43" ht="57.75" customHeight="1" thickBot="1">
      <c r="A2" s="68" t="s">
        <v>4</v>
      </c>
      <c r="B2" s="68" t="s">
        <v>5</v>
      </c>
      <c r="C2" s="8" t="s">
        <v>6</v>
      </c>
      <c r="D2" s="8" t="s">
        <v>7</v>
      </c>
      <c r="E2" s="8" t="s">
        <v>72</v>
      </c>
      <c r="F2" s="8" t="s">
        <v>73</v>
      </c>
      <c r="G2" s="8" t="s">
        <v>74</v>
      </c>
      <c r="H2" s="8" t="s">
        <v>75</v>
      </c>
      <c r="I2" s="8" t="s">
        <v>76</v>
      </c>
      <c r="J2" s="49" t="s">
        <v>77</v>
      </c>
      <c r="K2" s="8" t="s">
        <v>70</v>
      </c>
      <c r="L2" s="8" t="s">
        <v>79</v>
      </c>
      <c r="N2" s="68" t="s">
        <v>4</v>
      </c>
      <c r="O2" s="68" t="s">
        <v>5</v>
      </c>
      <c r="P2" s="8" t="s">
        <v>6</v>
      </c>
      <c r="Q2" s="8" t="s">
        <v>7</v>
      </c>
      <c r="R2" s="8" t="s">
        <v>72</v>
      </c>
      <c r="S2" s="8" t="s">
        <v>73</v>
      </c>
      <c r="T2" s="8" t="s">
        <v>74</v>
      </c>
      <c r="U2" s="8" t="s">
        <v>75</v>
      </c>
      <c r="V2" s="8" t="s">
        <v>76</v>
      </c>
      <c r="W2" s="49" t="s">
        <v>77</v>
      </c>
      <c r="X2" s="49" t="s">
        <v>70</v>
      </c>
      <c r="Y2" s="49" t="s">
        <v>79</v>
      </c>
      <c r="AA2" s="68" t="s">
        <v>4</v>
      </c>
      <c r="AB2" s="68" t="s">
        <v>5</v>
      </c>
      <c r="AC2" s="8" t="s">
        <v>6</v>
      </c>
      <c r="AD2" s="8" t="s">
        <v>7</v>
      </c>
      <c r="AE2" s="8" t="s">
        <v>72</v>
      </c>
      <c r="AF2" s="8" t="s">
        <v>73</v>
      </c>
      <c r="AG2" s="8" t="s">
        <v>74</v>
      </c>
      <c r="AH2" s="8" t="s">
        <v>75</v>
      </c>
      <c r="AI2" s="8" t="s">
        <v>76</v>
      </c>
      <c r="AJ2" s="49" t="s">
        <v>77</v>
      </c>
      <c r="AK2" s="49" t="s">
        <v>70</v>
      </c>
      <c r="AL2" s="49" t="s">
        <v>79</v>
      </c>
      <c r="AP2" s="95" t="s">
        <v>85</v>
      </c>
      <c r="AQ2" s="95" t="s">
        <v>86</v>
      </c>
    </row>
    <row r="3" spans="1:43" ht="15.75">
      <c r="A3" s="69">
        <v>0</v>
      </c>
      <c r="B3" s="69">
        <v>605.77</v>
      </c>
      <c r="C3" s="69">
        <v>589.53</v>
      </c>
      <c r="D3" s="69">
        <v>584.58</v>
      </c>
      <c r="E3" s="74">
        <f>B3-$B$15</f>
        <v>112.59999999999997</v>
      </c>
      <c r="F3" s="69">
        <f>C3-$C$15</f>
        <v>95.05999999999995</v>
      </c>
      <c r="G3" s="69">
        <f>D3-$D$15</f>
        <v>93.53000000000003</v>
      </c>
      <c r="H3" s="3">
        <f>(E3-E11)/B$16</f>
        <v>14.792426367461436</v>
      </c>
      <c r="I3" s="3">
        <f>(F3-F11)/C$16</f>
        <v>14.258426966292221</v>
      </c>
      <c r="J3" s="3">
        <f>(G3-G11)/D$16</f>
        <v>14.960750853242288</v>
      </c>
      <c r="K3" s="74">
        <f>AVERAGE(H3:J3)</f>
        <v>14.670534728998648</v>
      </c>
      <c r="L3" s="74"/>
      <c r="N3" s="69">
        <v>0</v>
      </c>
      <c r="O3" s="69">
        <v>605.97</v>
      </c>
      <c r="P3" s="69">
        <v>575.6</v>
      </c>
      <c r="Q3" s="69">
        <v>589.27</v>
      </c>
      <c r="R3" s="69">
        <f>O3-$O$15</f>
        <v>112.80000000000001</v>
      </c>
      <c r="S3" s="69">
        <f>P3-$P$15</f>
        <v>81.35000000000002</v>
      </c>
      <c r="T3" s="69">
        <f>Q3-$Q$15</f>
        <v>98.31</v>
      </c>
      <c r="U3" s="3">
        <f>(R3-R11)/O$16</f>
        <v>13.70664928292055</v>
      </c>
      <c r="V3" s="3">
        <f>(S3-S11)/P$16</f>
        <v>13.578853046595027</v>
      </c>
      <c r="W3" s="3">
        <f>(T3-T11)/Q$16</f>
        <v>13.064377682403416</v>
      </c>
      <c r="X3" s="3">
        <f>AVERAGE(U3:W3)</f>
        <v>13.449960003972997</v>
      </c>
      <c r="Y3" s="69"/>
      <c r="AA3" s="69">
        <v>0</v>
      </c>
      <c r="AB3" s="69">
        <v>609.12</v>
      </c>
      <c r="AC3" s="69">
        <v>570.66</v>
      </c>
      <c r="AD3" s="69">
        <v>567.57</v>
      </c>
      <c r="AE3" s="69">
        <f>AB3-$AB$15</f>
        <v>116.12</v>
      </c>
      <c r="AF3" s="69">
        <f>AC3-$AC$15</f>
        <v>76.35999999999996</v>
      </c>
      <c r="AG3" s="69">
        <f>AD3-$AD$15</f>
        <v>76.52000000000004</v>
      </c>
      <c r="AH3" s="3">
        <f>(AE3-AE11)/AB$16</f>
        <v>9.502712477396022</v>
      </c>
      <c r="AI3" s="3">
        <f>(AF3-AF11)/AC$16</f>
        <v>11.684385382059832</v>
      </c>
      <c r="AJ3" s="3">
        <f>(AG3-AG11)/AD$16</f>
        <v>11.585526315789513</v>
      </c>
      <c r="AK3" s="3">
        <f>AVERAGE(AH3:AJ3)</f>
        <v>10.924208058415124</v>
      </c>
      <c r="AL3" s="69"/>
      <c r="AP3" s="55">
        <v>0</v>
      </c>
      <c r="AQ3" s="61">
        <v>18.999999999999996</v>
      </c>
    </row>
    <row r="4" spans="1:43" ht="15.75">
      <c r="A4" s="69">
        <v>30</v>
      </c>
      <c r="B4" s="69">
        <v>573.52</v>
      </c>
      <c r="C4" s="69">
        <v>553.49</v>
      </c>
      <c r="D4" s="69">
        <v>551.46</v>
      </c>
      <c r="E4" s="74">
        <f aca="true" t="shared" si="0" ref="E4:E11">B4-$B$15</f>
        <v>80.34999999999997</v>
      </c>
      <c r="F4" s="69">
        <f aca="true" t="shared" si="1" ref="F4:F11">C4-$C$15</f>
        <v>59.01999999999998</v>
      </c>
      <c r="G4" s="69">
        <f aca="true" t="shared" si="2" ref="G4:G11">D4-$D$15</f>
        <v>60.410000000000025</v>
      </c>
      <c r="H4" s="3">
        <f>(E3-E4)/$B$16</f>
        <v>4.523141654978965</v>
      </c>
      <c r="I4" s="3">
        <f>(F3-F4)/$C$16</f>
        <v>5.784911717496017</v>
      </c>
      <c r="J4" s="51">
        <f>(G3-G4)/$D$16</f>
        <v>5.651877133105789</v>
      </c>
      <c r="K4" s="74">
        <v>9.32</v>
      </c>
      <c r="L4" s="52">
        <f>AVERAGE(L5:L6)</f>
        <v>0.3708440200874712</v>
      </c>
      <c r="N4" s="69">
        <v>30</v>
      </c>
      <c r="O4" s="69">
        <v>562.4</v>
      </c>
      <c r="P4" s="69">
        <v>544.65</v>
      </c>
      <c r="Q4" s="69">
        <v>553.66</v>
      </c>
      <c r="R4" s="69">
        <f aca="true" t="shared" si="3" ref="R4:R11">O4-$O$15</f>
        <v>69.22999999999996</v>
      </c>
      <c r="S4" s="69">
        <f aca="true" t="shared" si="4" ref="S4:S10">P4-$P$15</f>
        <v>50.39999999999998</v>
      </c>
      <c r="T4" s="69">
        <f aca="true" t="shared" si="5" ref="T4:T11">Q4-$Q$15</f>
        <v>62.69999999999999</v>
      </c>
      <c r="U4" s="3">
        <f>(R3-R4)/$O$16</f>
        <v>5.680573663624548</v>
      </c>
      <c r="V4" s="3">
        <f>(S3-S4)/$P$16</f>
        <v>5.546594982078877</v>
      </c>
      <c r="W4" s="51">
        <f>(T3-T4)/$Q$16</f>
        <v>5.094420600858364</v>
      </c>
      <c r="X4" s="3">
        <v>8.694</v>
      </c>
      <c r="Y4" s="69"/>
      <c r="AA4" s="69">
        <v>30</v>
      </c>
      <c r="AB4" s="69">
        <v>563.64</v>
      </c>
      <c r="AC4" s="69">
        <v>539.66</v>
      </c>
      <c r="AD4" s="69">
        <v>536.13</v>
      </c>
      <c r="AE4" s="69">
        <f aca="true" t="shared" si="6" ref="AE4:AE11">AB4-$AB$15</f>
        <v>70.63999999999999</v>
      </c>
      <c r="AF4" s="69">
        <f aca="true" t="shared" si="7" ref="AF4:AF11">AC4-$AC$15</f>
        <v>45.35999999999996</v>
      </c>
      <c r="AG4" s="69">
        <f aca="true" t="shared" si="8" ref="AG4:AG11">AD4-$AD$15</f>
        <v>45.079999999999984</v>
      </c>
      <c r="AH4" s="3">
        <f>(AE3-AE4)/$AB$16</f>
        <v>4.112115732368898</v>
      </c>
      <c r="AI4" s="3">
        <f>(AF3-AF4)/$AC$16</f>
        <v>5.149501661129584</v>
      </c>
      <c r="AJ4" s="51">
        <v>8.171</v>
      </c>
      <c r="AK4" s="3">
        <f>AVERAGE(AH4:AJ4)</f>
        <v>5.810872464499494</v>
      </c>
      <c r="AL4" s="69"/>
      <c r="AP4" s="56">
        <v>30</v>
      </c>
      <c r="AQ4" s="62">
        <v>16.54368932038835</v>
      </c>
    </row>
    <row r="5" spans="1:43" ht="15.75">
      <c r="A5" s="69">
        <v>60</v>
      </c>
      <c r="B5" s="69">
        <v>542.25</v>
      </c>
      <c r="C5" s="69">
        <v>522.89</v>
      </c>
      <c r="D5" s="69">
        <v>521.74</v>
      </c>
      <c r="E5" s="74">
        <f t="shared" si="0"/>
        <v>49.079999999999984</v>
      </c>
      <c r="F5" s="69">
        <f t="shared" si="1"/>
        <v>28.41999999999996</v>
      </c>
      <c r="G5" s="69">
        <f t="shared" si="2"/>
        <v>30.689999999999998</v>
      </c>
      <c r="H5" s="3">
        <f aca="true" t="shared" si="9" ref="H5:H10">(E4-E5)/$B$16</f>
        <v>4.385694249649369</v>
      </c>
      <c r="I5" s="3">
        <f aca="true" t="shared" si="10" ref="I5:I10">(F4-F5)/$C$16</f>
        <v>4.911717495987193</v>
      </c>
      <c r="J5" s="51">
        <f aca="true" t="shared" si="11" ref="J5:J11">(G4-G5)/$D$16</f>
        <v>5.071672354948798</v>
      </c>
      <c r="K5" s="74">
        <f aca="true" t="shared" si="12" ref="K5:K11">AVERAGE(H5:J5)</f>
        <v>4.7896947001951204</v>
      </c>
      <c r="L5" s="52">
        <f>-(K5-K4)/((A5-A4)/60)*(($E$16/1000)/$C$21)</f>
        <v>0.5495698168820491</v>
      </c>
      <c r="N5" s="69">
        <v>60</v>
      </c>
      <c r="O5" s="69">
        <v>533.68</v>
      </c>
      <c r="P5" s="69">
        <v>516.01</v>
      </c>
      <c r="Q5" s="69">
        <v>519.4</v>
      </c>
      <c r="R5" s="69">
        <f t="shared" si="3"/>
        <v>40.509999999999934</v>
      </c>
      <c r="S5" s="69">
        <f t="shared" si="4"/>
        <v>21.75999999999999</v>
      </c>
      <c r="T5" s="69">
        <f t="shared" si="5"/>
        <v>28.439999999999998</v>
      </c>
      <c r="U5" s="3">
        <f aca="true" t="shared" si="13" ref="U5:U11">(R4-R5)/$O$16</f>
        <v>3.7444589308996323</v>
      </c>
      <c r="V5" s="3">
        <f aca="true" t="shared" si="14" ref="V5:V10">(S4-S5)/$P$16</f>
        <v>5.132616487455209</v>
      </c>
      <c r="W5" s="51">
        <f aca="true" t="shared" si="15" ref="W5:W11">(T4-T5)/$Q$16</f>
        <v>4.901287553648061</v>
      </c>
      <c r="X5" s="3">
        <f aca="true" t="shared" si="16" ref="X5:X11">AVERAGE(U5:W5)</f>
        <v>4.592787657334301</v>
      </c>
      <c r="Y5" s="69"/>
      <c r="AA5" s="69">
        <v>60</v>
      </c>
      <c r="AB5" s="69">
        <v>537.39</v>
      </c>
      <c r="AC5" s="69">
        <v>539.35</v>
      </c>
      <c r="AD5" s="69">
        <v>508.89</v>
      </c>
      <c r="AE5" s="69">
        <f t="shared" si="6"/>
        <v>44.389999999999986</v>
      </c>
      <c r="AF5" s="69">
        <f t="shared" si="7"/>
        <v>45.05000000000001</v>
      </c>
      <c r="AG5" s="69">
        <f t="shared" si="8"/>
        <v>17.839999999999975</v>
      </c>
      <c r="AH5" s="3">
        <f aca="true" t="shared" si="17" ref="AH5:AH11">(AE4-AE5)/$AB$16</f>
        <v>2.3734177215189867</v>
      </c>
      <c r="AI5" s="3">
        <f>(AF4-AF5)/$AC$16</f>
        <v>0.05149501661128677</v>
      </c>
      <c r="AJ5" s="51">
        <f aca="true" t="shared" si="18" ref="AJ5:AJ11">(AG4-AG5)/$AD$16</f>
        <v>4.4802631578947505</v>
      </c>
      <c r="AK5" s="3">
        <f aca="true" t="shared" si="19" ref="AK5:AK11">AVERAGE(AH5:AJ5)</f>
        <v>2.301725298675008</v>
      </c>
      <c r="AL5" s="69"/>
      <c r="AP5" s="56">
        <v>60</v>
      </c>
      <c r="AQ5" s="62">
        <v>16.32038834951456</v>
      </c>
    </row>
    <row r="6" spans="1:43" ht="15.75">
      <c r="A6" s="69">
        <v>90</v>
      </c>
      <c r="B6" s="69">
        <v>519.1</v>
      </c>
      <c r="C6" s="69">
        <v>503.44</v>
      </c>
      <c r="D6" s="69">
        <v>502.7</v>
      </c>
      <c r="E6" s="74">
        <f t="shared" si="0"/>
        <v>25.930000000000007</v>
      </c>
      <c r="F6" s="69">
        <f t="shared" si="1"/>
        <v>8.96999999999997</v>
      </c>
      <c r="G6" s="69">
        <f t="shared" si="2"/>
        <v>11.649999999999977</v>
      </c>
      <c r="H6" s="3">
        <f t="shared" si="9"/>
        <v>3.2468443197755947</v>
      </c>
      <c r="I6" s="3">
        <f t="shared" si="10"/>
        <v>3.121990369181398</v>
      </c>
      <c r="J6" s="51">
        <f t="shared" si="11"/>
        <v>3.249146757679177</v>
      </c>
      <c r="K6" s="74">
        <f t="shared" si="12"/>
        <v>3.2059938155453893</v>
      </c>
      <c r="L6" s="52">
        <f aca="true" t="shared" si="20" ref="L6:L11">-(K6-K5)/((A6-A5)/60)*(($E$16/1000)/$C$21)</f>
        <v>0.19211822329289333</v>
      </c>
      <c r="N6" s="69">
        <v>90</v>
      </c>
      <c r="O6" s="69">
        <v>508.67</v>
      </c>
      <c r="P6" s="69">
        <v>503.86</v>
      </c>
      <c r="Q6" s="69">
        <v>499.86</v>
      </c>
      <c r="R6" s="69">
        <f t="shared" si="3"/>
        <v>15.5</v>
      </c>
      <c r="S6" s="69">
        <f t="shared" si="4"/>
        <v>9.610000000000014</v>
      </c>
      <c r="T6" s="69">
        <f t="shared" si="5"/>
        <v>8.900000000000034</v>
      </c>
      <c r="U6" s="3">
        <f t="shared" si="13"/>
        <v>3.2607561929595916</v>
      </c>
      <c r="V6" s="3">
        <f t="shared" si="14"/>
        <v>2.1774193548387117</v>
      </c>
      <c r="W6" s="51">
        <f t="shared" si="15"/>
        <v>2.795422031473525</v>
      </c>
      <c r="X6" s="3">
        <f t="shared" si="16"/>
        <v>2.7445325264239426</v>
      </c>
      <c r="Y6" s="69"/>
      <c r="AA6" s="69">
        <v>90</v>
      </c>
      <c r="AB6" s="69">
        <v>525.49</v>
      </c>
      <c r="AC6" s="69">
        <v>511.33</v>
      </c>
      <c r="AD6" s="69">
        <v>497.33</v>
      </c>
      <c r="AE6" s="69">
        <f t="shared" si="6"/>
        <v>32.49000000000001</v>
      </c>
      <c r="AF6" s="69">
        <f t="shared" si="7"/>
        <v>17.029999999999973</v>
      </c>
      <c r="AG6" s="69">
        <f t="shared" si="8"/>
        <v>6.279999999999973</v>
      </c>
      <c r="AH6" s="3">
        <f t="shared" si="17"/>
        <v>1.0759493670886053</v>
      </c>
      <c r="AI6" s="3">
        <f aca="true" t="shared" si="21" ref="AI6:AI11">(AF5-AF6)/$AC$16</f>
        <v>4.654485049833908</v>
      </c>
      <c r="AJ6" s="51">
        <f t="shared" si="18"/>
        <v>1.9013157894736896</v>
      </c>
      <c r="AK6" s="3">
        <f t="shared" si="19"/>
        <v>2.543916735465401</v>
      </c>
      <c r="AL6" s="69"/>
      <c r="AP6" s="57">
        <v>90</v>
      </c>
      <c r="AQ6" s="62">
        <v>15.009708737864077</v>
      </c>
    </row>
    <row r="7" spans="1:43" ht="15.75">
      <c r="A7" s="69">
        <f aca="true" t="shared" si="22" ref="A7:A12">A6+15</f>
        <v>105</v>
      </c>
      <c r="B7" s="69">
        <v>508.89</v>
      </c>
      <c r="C7" s="69">
        <v>502.09</v>
      </c>
      <c r="D7" s="69">
        <v>500.1</v>
      </c>
      <c r="E7" s="74">
        <f t="shared" si="0"/>
        <v>15.71999999999997</v>
      </c>
      <c r="F7" s="69">
        <f t="shared" si="1"/>
        <v>7.619999999999948</v>
      </c>
      <c r="G7" s="69">
        <f t="shared" si="2"/>
        <v>9.050000000000011</v>
      </c>
      <c r="H7" s="3">
        <f t="shared" si="9"/>
        <v>1.4319775596072992</v>
      </c>
      <c r="I7" s="3">
        <f t="shared" si="10"/>
        <v>0.21669341894061495</v>
      </c>
      <c r="J7" s="51">
        <f t="shared" si="11"/>
        <v>0.44368600682593173</v>
      </c>
      <c r="K7" s="74">
        <f>AVERAGE(H7:J7)</f>
        <v>0.6974523284579486</v>
      </c>
      <c r="L7" s="52">
        <f>-(K7-K6)/((A7-A6)/60)*(($E$16/1000)/$C$21)</f>
        <v>0.6086206533405354</v>
      </c>
      <c r="N7" s="69">
        <f aca="true" t="shared" si="23" ref="N7:N12">N6+15</f>
        <v>105</v>
      </c>
      <c r="O7" s="69">
        <v>504</v>
      </c>
      <c r="P7" s="69">
        <v>502.86</v>
      </c>
      <c r="Q7" s="69">
        <v>498.3</v>
      </c>
      <c r="R7" s="69">
        <f t="shared" si="3"/>
        <v>10.829999999999984</v>
      </c>
      <c r="S7" s="69">
        <f t="shared" si="4"/>
        <v>8.610000000000014</v>
      </c>
      <c r="T7" s="69">
        <f t="shared" si="5"/>
        <v>7.340000000000032</v>
      </c>
      <c r="U7" s="3">
        <f t="shared" si="13"/>
        <v>0.6088657105606311</v>
      </c>
      <c r="V7" s="3">
        <f t="shared" si="14"/>
        <v>0.17921146953405068</v>
      </c>
      <c r="W7" s="51">
        <f t="shared" si="15"/>
        <v>0.2231759656652361</v>
      </c>
      <c r="X7" s="3">
        <f t="shared" si="16"/>
        <v>0.33708438191997264</v>
      </c>
      <c r="Y7" s="69"/>
      <c r="AA7" s="69">
        <f aca="true" t="shared" si="24" ref="AA7:AA12">AA6+15</f>
        <v>105</v>
      </c>
      <c r="AB7" s="69">
        <v>518.26</v>
      </c>
      <c r="AC7" s="69">
        <v>500.37</v>
      </c>
      <c r="AD7" s="69">
        <v>497.17</v>
      </c>
      <c r="AE7" s="69">
        <f t="shared" si="6"/>
        <v>25.25999999999999</v>
      </c>
      <c r="AF7" s="69">
        <f t="shared" si="7"/>
        <v>6.069999999999993</v>
      </c>
      <c r="AG7" s="69">
        <f t="shared" si="8"/>
        <v>6.1200000000000045</v>
      </c>
      <c r="AH7" s="3">
        <f t="shared" si="17"/>
        <v>0.6537070524412312</v>
      </c>
      <c r="AI7" s="3">
        <f t="shared" si="21"/>
        <v>1.8205980066445204</v>
      </c>
      <c r="AJ7" s="51">
        <f t="shared" si="18"/>
        <v>0.026315789473679043</v>
      </c>
      <c r="AK7" s="3">
        <f t="shared" si="19"/>
        <v>0.8335402828531436</v>
      </c>
      <c r="AL7" s="69"/>
      <c r="AP7" s="56">
        <v>120</v>
      </c>
      <c r="AQ7" s="62">
        <v>14.359223300970875</v>
      </c>
    </row>
    <row r="8" spans="1:43" ht="15.75">
      <c r="A8" s="69">
        <f t="shared" si="22"/>
        <v>120</v>
      </c>
      <c r="B8" s="69">
        <v>504.81</v>
      </c>
      <c r="C8" s="69">
        <v>500.71</v>
      </c>
      <c r="D8" s="69">
        <v>497.19</v>
      </c>
      <c r="E8" s="74">
        <f t="shared" si="0"/>
        <v>11.639999999999986</v>
      </c>
      <c r="F8" s="69">
        <f t="shared" si="1"/>
        <v>6.239999999999952</v>
      </c>
      <c r="G8" s="69">
        <f t="shared" si="2"/>
        <v>6.139999999999986</v>
      </c>
      <c r="H8" s="3">
        <f t="shared" si="9"/>
        <v>0.5722300140252435</v>
      </c>
      <c r="I8" s="3">
        <f t="shared" si="10"/>
        <v>0.22150882825040194</v>
      </c>
      <c r="J8" s="51">
        <f t="shared" si="11"/>
        <v>0.49658703071672666</v>
      </c>
      <c r="K8" s="74">
        <f t="shared" si="12"/>
        <v>0.4301086243307907</v>
      </c>
      <c r="L8" s="52">
        <f t="shared" si="20"/>
        <v>0.06486275021158458</v>
      </c>
      <c r="N8" s="69">
        <f t="shared" si="23"/>
        <v>120</v>
      </c>
      <c r="O8" s="69">
        <v>501</v>
      </c>
      <c r="P8" s="69">
        <v>500.67</v>
      </c>
      <c r="Q8" s="69">
        <v>498</v>
      </c>
      <c r="R8" s="69">
        <f t="shared" si="3"/>
        <v>7.829999999999984</v>
      </c>
      <c r="S8" s="69">
        <f t="shared" si="4"/>
        <v>6.420000000000016</v>
      </c>
      <c r="T8" s="69">
        <f t="shared" si="5"/>
        <v>7.0400000000000205</v>
      </c>
      <c r="U8" s="3">
        <f t="shared" si="13"/>
        <v>0.3911342894393763</v>
      </c>
      <c r="V8" s="3">
        <f t="shared" si="14"/>
        <v>0.3924731182795706</v>
      </c>
      <c r="W8" s="51">
        <f t="shared" si="15"/>
        <v>0.042918454935623886</v>
      </c>
      <c r="X8" s="3">
        <f t="shared" si="16"/>
        <v>0.2755086208848569</v>
      </c>
      <c r="Y8" s="69"/>
      <c r="AA8" s="69">
        <f t="shared" si="24"/>
        <v>120</v>
      </c>
      <c r="AB8" s="69">
        <v>512.23</v>
      </c>
      <c r="AC8" s="69">
        <v>500.35</v>
      </c>
      <c r="AD8" s="69">
        <v>497.14</v>
      </c>
      <c r="AE8" s="69">
        <f t="shared" si="6"/>
        <v>19.230000000000018</v>
      </c>
      <c r="AF8" s="69">
        <f t="shared" si="7"/>
        <v>6.050000000000011</v>
      </c>
      <c r="AG8" s="69">
        <f t="shared" si="8"/>
        <v>6.089999999999975</v>
      </c>
      <c r="AH8" s="3">
        <f t="shared" si="17"/>
        <v>0.545207956600359</v>
      </c>
      <c r="AI8" s="3">
        <f t="shared" si="21"/>
        <v>0.003322259136209613</v>
      </c>
      <c r="AJ8" s="51">
        <f t="shared" si="18"/>
        <v>0.004934210526320664</v>
      </c>
      <c r="AK8" s="3">
        <f t="shared" si="19"/>
        <v>0.1844881420876298</v>
      </c>
      <c r="AL8" s="69"/>
      <c r="AP8" s="58">
        <v>150</v>
      </c>
      <c r="AQ8" s="62">
        <v>13.388349514563107</v>
      </c>
    </row>
    <row r="9" spans="1:43" ht="15.75">
      <c r="A9" s="69">
        <f t="shared" si="22"/>
        <v>135</v>
      </c>
      <c r="B9" s="69">
        <v>501.83</v>
      </c>
      <c r="C9" s="69">
        <v>500.7</v>
      </c>
      <c r="D9" s="69">
        <v>496.98</v>
      </c>
      <c r="E9" s="74">
        <f t="shared" si="0"/>
        <v>8.659999999999968</v>
      </c>
      <c r="F9" s="69">
        <f t="shared" si="1"/>
        <v>6.229999999999961</v>
      </c>
      <c r="G9" s="69">
        <f t="shared" si="2"/>
        <v>5.930000000000007</v>
      </c>
      <c r="H9" s="3">
        <f t="shared" si="9"/>
        <v>0.4179523141655007</v>
      </c>
      <c r="I9" s="3">
        <f t="shared" si="10"/>
        <v>0.001605136436595661</v>
      </c>
      <c r="J9" s="51">
        <f t="shared" si="11"/>
        <v>0.035836177474399156</v>
      </c>
      <c r="K9" s="74">
        <f t="shared" si="12"/>
        <v>0.15179787602549852</v>
      </c>
      <c r="L9" s="52">
        <f t="shared" si="20"/>
        <v>0.06752356711545826</v>
      </c>
      <c r="N9" s="69">
        <f t="shared" si="23"/>
        <v>135</v>
      </c>
      <c r="O9" s="10">
        <v>500.89</v>
      </c>
      <c r="P9" s="69">
        <v>499.97</v>
      </c>
      <c r="Q9" s="69">
        <v>497.97</v>
      </c>
      <c r="R9" s="69">
        <f t="shared" si="3"/>
        <v>7.71999999999997</v>
      </c>
      <c r="S9" s="69">
        <f t="shared" si="4"/>
        <v>5.720000000000027</v>
      </c>
      <c r="T9" s="69">
        <f t="shared" si="5"/>
        <v>7.010000000000048</v>
      </c>
      <c r="U9" s="3">
        <f t="shared" si="13"/>
        <v>0.014341590612778909</v>
      </c>
      <c r="V9" s="3">
        <f t="shared" si="14"/>
        <v>0.12544802867383345</v>
      </c>
      <c r="W9" s="51">
        <f t="shared" si="15"/>
        <v>0.0042918454935583225</v>
      </c>
      <c r="X9" s="3">
        <f t="shared" si="16"/>
        <v>0.048027154926723555</v>
      </c>
      <c r="Y9" s="69"/>
      <c r="AA9" s="69">
        <f t="shared" si="24"/>
        <v>135</v>
      </c>
      <c r="AB9" s="69">
        <v>506.93</v>
      </c>
      <c r="AC9" s="69">
        <v>500.32</v>
      </c>
      <c r="AD9" s="69">
        <v>497.13</v>
      </c>
      <c r="AE9" s="69">
        <f t="shared" si="6"/>
        <v>13.930000000000007</v>
      </c>
      <c r="AF9" s="69">
        <f t="shared" si="7"/>
        <v>6.019999999999982</v>
      </c>
      <c r="AG9" s="69">
        <f t="shared" si="8"/>
        <v>6.079999999999984</v>
      </c>
      <c r="AH9" s="3">
        <f t="shared" si="17"/>
        <v>0.47920433996383455</v>
      </c>
      <c r="AI9" s="3">
        <f t="shared" si="21"/>
        <v>0.004983388704323862</v>
      </c>
      <c r="AJ9" s="51">
        <f t="shared" si="18"/>
        <v>0.0016447368421037716</v>
      </c>
      <c r="AK9" s="3">
        <f t="shared" si="19"/>
        <v>0.1619441551700874</v>
      </c>
      <c r="AL9" s="69"/>
      <c r="AP9" s="59">
        <v>180</v>
      </c>
      <c r="AQ9" s="62">
        <v>13.145631067961165</v>
      </c>
    </row>
    <row r="10" spans="1:43" ht="15.75">
      <c r="A10" s="69">
        <f t="shared" si="22"/>
        <v>150</v>
      </c>
      <c r="B10" s="69">
        <v>500.5</v>
      </c>
      <c r="C10" s="69">
        <v>500.7</v>
      </c>
      <c r="D10" s="69">
        <v>496.95</v>
      </c>
      <c r="E10" s="74">
        <f t="shared" si="0"/>
        <v>7.329999999999984</v>
      </c>
      <c r="F10" s="69">
        <f t="shared" si="1"/>
        <v>6.229999999999961</v>
      </c>
      <c r="G10" s="69">
        <f t="shared" si="2"/>
        <v>5.899999999999977</v>
      </c>
      <c r="H10" s="3">
        <f t="shared" si="9"/>
        <v>0.18653576437587446</v>
      </c>
      <c r="I10" s="3">
        <f t="shared" si="10"/>
        <v>0</v>
      </c>
      <c r="J10" s="51">
        <f t="shared" si="11"/>
        <v>0.005119453924919708</v>
      </c>
      <c r="K10" s="74">
        <f t="shared" si="12"/>
        <v>0.0638850727669314</v>
      </c>
      <c r="L10" s="52">
        <f t="shared" si="20"/>
        <v>0.021329345371261948</v>
      </c>
      <c r="N10" s="69">
        <f t="shared" si="23"/>
        <v>150</v>
      </c>
      <c r="O10" s="69">
        <v>500.84</v>
      </c>
      <c r="P10" s="69">
        <v>499.83</v>
      </c>
      <c r="Q10" s="69">
        <v>497.95</v>
      </c>
      <c r="R10" s="69">
        <f t="shared" si="3"/>
        <v>7.669999999999959</v>
      </c>
      <c r="S10" s="69">
        <f t="shared" si="4"/>
        <v>5.579999999999984</v>
      </c>
      <c r="T10" s="69">
        <f t="shared" si="5"/>
        <v>6.990000000000009</v>
      </c>
      <c r="U10" s="3">
        <f t="shared" si="13"/>
        <v>0.006518904823991087</v>
      </c>
      <c r="V10" s="3">
        <f t="shared" si="14"/>
        <v>0.02508960573477484</v>
      </c>
      <c r="W10" s="51">
        <f t="shared" si="15"/>
        <v>0.002861230329047014</v>
      </c>
      <c r="X10" s="3">
        <f t="shared" si="16"/>
        <v>0.01148991362927098</v>
      </c>
      <c r="Y10" s="69"/>
      <c r="AA10" s="69">
        <f t="shared" si="24"/>
        <v>150</v>
      </c>
      <c r="AB10" s="9">
        <v>504.06</v>
      </c>
      <c r="AC10" s="69">
        <f>AC9</f>
        <v>500.32</v>
      </c>
      <c r="AD10" s="69">
        <f>AD9</f>
        <v>497.13</v>
      </c>
      <c r="AE10" s="69">
        <f t="shared" si="6"/>
        <v>11.060000000000002</v>
      </c>
      <c r="AF10" s="69">
        <f t="shared" si="7"/>
        <v>6.019999999999982</v>
      </c>
      <c r="AG10" s="69">
        <f t="shared" si="8"/>
        <v>6.079999999999984</v>
      </c>
      <c r="AH10" s="3">
        <f t="shared" si="17"/>
        <v>0.25949367088607633</v>
      </c>
      <c r="AI10" s="3">
        <f t="shared" si="21"/>
        <v>0</v>
      </c>
      <c r="AJ10" s="51">
        <f t="shared" si="18"/>
        <v>0</v>
      </c>
      <c r="AK10" s="3">
        <f t="shared" si="19"/>
        <v>0.08649789029535877</v>
      </c>
      <c r="AL10" s="69"/>
      <c r="AP10" s="58">
        <v>210</v>
      </c>
      <c r="AQ10" s="62">
        <v>12.281553398058248</v>
      </c>
    </row>
    <row r="11" spans="1:43" ht="15.75">
      <c r="A11" s="69">
        <f t="shared" si="22"/>
        <v>165</v>
      </c>
      <c r="B11" s="69">
        <v>500.3</v>
      </c>
      <c r="C11" s="69">
        <v>500.7</v>
      </c>
      <c r="D11" s="69">
        <v>496.91</v>
      </c>
      <c r="E11" s="74">
        <f t="shared" si="0"/>
        <v>7.1299999999999955</v>
      </c>
      <c r="F11" s="69">
        <f t="shared" si="1"/>
        <v>6.229999999999961</v>
      </c>
      <c r="G11" s="69">
        <f t="shared" si="2"/>
        <v>5.860000000000014</v>
      </c>
      <c r="H11" s="3">
        <f>(E10-E11)/$B$16</f>
        <v>0.028050490883588887</v>
      </c>
      <c r="I11" s="3">
        <f>(F10-F11)/$C$16</f>
        <v>0</v>
      </c>
      <c r="J11" s="51">
        <f t="shared" si="11"/>
        <v>0.006825938566546677</v>
      </c>
      <c r="K11" s="74">
        <f t="shared" si="12"/>
        <v>0.01162547648337852</v>
      </c>
      <c r="L11" s="52">
        <f t="shared" si="20"/>
        <v>0.01267918820443247</v>
      </c>
      <c r="N11" s="69">
        <f t="shared" si="23"/>
        <v>165</v>
      </c>
      <c r="O11" s="6">
        <f>O10</f>
        <v>500.84</v>
      </c>
      <c r="P11" s="69">
        <v>499.83</v>
      </c>
      <c r="Q11" s="69">
        <f>Q10</f>
        <v>497.95</v>
      </c>
      <c r="R11" s="69">
        <f t="shared" si="3"/>
        <v>7.669999999999959</v>
      </c>
      <c r="S11" s="69">
        <f>P11-$P$15</f>
        <v>5.579999999999984</v>
      </c>
      <c r="T11" s="69">
        <f t="shared" si="5"/>
        <v>6.990000000000009</v>
      </c>
      <c r="U11" s="3">
        <f t="shared" si="13"/>
        <v>0</v>
      </c>
      <c r="V11" s="3">
        <f>(S10-S11)/$P$16</f>
        <v>0</v>
      </c>
      <c r="W11" s="51">
        <f t="shared" si="15"/>
        <v>0</v>
      </c>
      <c r="X11" s="3">
        <f t="shared" si="16"/>
        <v>0</v>
      </c>
      <c r="Y11" s="69"/>
      <c r="AA11" s="69">
        <f t="shared" si="24"/>
        <v>165</v>
      </c>
      <c r="AB11" s="9">
        <v>504.02</v>
      </c>
      <c r="AC11" s="69">
        <f>AC10</f>
        <v>500.32</v>
      </c>
      <c r="AD11" s="69">
        <f>AD10</f>
        <v>497.13</v>
      </c>
      <c r="AE11" s="69">
        <f t="shared" si="6"/>
        <v>11.019999999999982</v>
      </c>
      <c r="AF11" s="69">
        <f t="shared" si="7"/>
        <v>6.019999999999982</v>
      </c>
      <c r="AG11" s="69">
        <f t="shared" si="8"/>
        <v>6.079999999999984</v>
      </c>
      <c r="AH11" s="3">
        <f t="shared" si="17"/>
        <v>0.0036166365280307826</v>
      </c>
      <c r="AI11" s="3">
        <f t="shared" si="21"/>
        <v>0</v>
      </c>
      <c r="AJ11" s="51">
        <f t="shared" si="18"/>
        <v>0</v>
      </c>
      <c r="AK11" s="3">
        <f t="shared" si="19"/>
        <v>0.0012055455093435941</v>
      </c>
      <c r="AL11" s="69"/>
      <c r="AP11" s="58">
        <v>240</v>
      </c>
      <c r="AQ11" s="62">
        <v>11.495145631067961</v>
      </c>
    </row>
    <row r="12" spans="1:43" ht="15.75">
      <c r="A12" s="69">
        <f t="shared" si="22"/>
        <v>180</v>
      </c>
      <c r="B12" s="9" t="s">
        <v>8</v>
      </c>
      <c r="C12" s="9" t="s">
        <v>8</v>
      </c>
      <c r="D12" s="9" t="s">
        <v>8</v>
      </c>
      <c r="E12" s="74" t="s">
        <v>8</v>
      </c>
      <c r="F12" s="9"/>
      <c r="G12" s="9"/>
      <c r="H12" s="9"/>
      <c r="I12" s="9"/>
      <c r="J12" s="50"/>
      <c r="K12" s="74"/>
      <c r="L12" s="74"/>
      <c r="N12" s="69">
        <f t="shared" si="23"/>
        <v>180</v>
      </c>
      <c r="O12" s="69" t="s">
        <v>8</v>
      </c>
      <c r="P12" s="9" t="s">
        <v>8</v>
      </c>
      <c r="Q12" s="9" t="s">
        <v>8</v>
      </c>
      <c r="R12" s="9"/>
      <c r="S12" s="9"/>
      <c r="T12" s="9"/>
      <c r="U12" s="9"/>
      <c r="V12" s="9"/>
      <c r="W12" s="9"/>
      <c r="X12" s="9"/>
      <c r="Y12" s="9"/>
      <c r="AA12" s="69">
        <f t="shared" si="24"/>
        <v>180</v>
      </c>
      <c r="AB12" s="9" t="s">
        <v>8</v>
      </c>
      <c r="AC12" s="9" t="s">
        <v>8</v>
      </c>
      <c r="AD12" s="9" t="s">
        <v>8</v>
      </c>
      <c r="AE12" s="9"/>
      <c r="AF12" s="9"/>
      <c r="AG12" s="9"/>
      <c r="AH12" s="9"/>
      <c r="AI12" s="9"/>
      <c r="AJ12" s="9"/>
      <c r="AK12" s="9"/>
      <c r="AL12" s="9"/>
      <c r="AP12" s="59">
        <v>270</v>
      </c>
      <c r="AQ12" s="62">
        <v>11.06796116504854</v>
      </c>
    </row>
    <row r="13" spans="1:43" ht="15.75">
      <c r="A13" s="131" t="s">
        <v>10</v>
      </c>
      <c r="B13" s="131"/>
      <c r="C13" s="132">
        <f>(A11+A10+A11)/3</f>
        <v>160</v>
      </c>
      <c r="D13" s="132"/>
      <c r="E13" s="47"/>
      <c r="F13" s="47"/>
      <c r="G13" s="47"/>
      <c r="H13" s="47"/>
      <c r="I13" s="47"/>
      <c r="J13" s="47"/>
      <c r="K13" s="47"/>
      <c r="L13" s="47"/>
      <c r="N13" s="131" t="s">
        <v>10</v>
      </c>
      <c r="O13" s="131"/>
      <c r="P13" s="132">
        <f>(N11+N10+N10)/3</f>
        <v>155</v>
      </c>
      <c r="Q13" s="132"/>
      <c r="R13" s="47"/>
      <c r="S13" s="47"/>
      <c r="T13" s="47"/>
      <c r="U13" s="47"/>
      <c r="V13" s="47"/>
      <c r="W13" s="47"/>
      <c r="X13" s="47"/>
      <c r="Y13" s="47"/>
      <c r="AA13" s="131" t="s">
        <v>10</v>
      </c>
      <c r="AB13" s="131"/>
      <c r="AC13" s="132">
        <f>(AA10+AA9+AA9)/3</f>
        <v>140</v>
      </c>
      <c r="AD13" s="132"/>
      <c r="AE13" s="47"/>
      <c r="AF13" s="47"/>
      <c r="AG13" s="47"/>
      <c r="AH13" s="47"/>
      <c r="AI13" s="47"/>
      <c r="AJ13" s="47"/>
      <c r="AK13" s="47"/>
      <c r="AL13" s="47"/>
      <c r="AP13" s="58">
        <v>300</v>
      </c>
      <c r="AQ13" s="62">
        <v>10.572815533980583</v>
      </c>
    </row>
    <row r="14" spans="14:43" ht="15.75">
      <c r="N14" s="11">
        <f>100/0.5</f>
        <v>200</v>
      </c>
      <c r="O14">
        <f>O3-O15</f>
        <v>112.80000000000001</v>
      </c>
      <c r="AC14" s="11" t="s">
        <v>29</v>
      </c>
      <c r="AP14" s="58">
        <v>330</v>
      </c>
      <c r="AQ14" s="62">
        <v>10.19417475728155</v>
      </c>
    </row>
    <row r="15" spans="1:43" ht="14.25">
      <c r="A15" t="s">
        <v>19</v>
      </c>
      <c r="B15">
        <v>493.17</v>
      </c>
      <c r="C15">
        <v>494.47</v>
      </c>
      <c r="D15">
        <v>491.05</v>
      </c>
      <c r="J15">
        <f>AVERAGE(B15:D15)</f>
        <v>492.8966666666667</v>
      </c>
      <c r="N15" t="s">
        <v>19</v>
      </c>
      <c r="O15">
        <v>493.17</v>
      </c>
      <c r="P15">
        <v>494.25</v>
      </c>
      <c r="Q15">
        <v>490.96</v>
      </c>
      <c r="AA15" t="s">
        <v>19</v>
      </c>
      <c r="AB15">
        <v>493</v>
      </c>
      <c r="AC15">
        <v>494.3</v>
      </c>
      <c r="AD15">
        <v>491.05</v>
      </c>
      <c r="AP15" s="59">
        <v>360</v>
      </c>
      <c r="AQ15" s="62">
        <v>9.3116504854369</v>
      </c>
    </row>
    <row r="16" spans="1:43" ht="14.25">
      <c r="A16" t="s">
        <v>20</v>
      </c>
      <c r="B16">
        <f>B11-B15</f>
        <v>7.1299999999999955</v>
      </c>
      <c r="C16">
        <f>C10-C15</f>
        <v>6.229999999999961</v>
      </c>
      <c r="D16">
        <f>D11-D15</f>
        <v>5.860000000000014</v>
      </c>
      <c r="E16">
        <f>AVERAGE(B16:D16)</f>
        <v>6.4066666666666565</v>
      </c>
      <c r="N16" s="53" t="s">
        <v>80</v>
      </c>
      <c r="O16" s="26">
        <f>R11</f>
        <v>7.669999999999959</v>
      </c>
      <c r="P16" s="26">
        <f>S11</f>
        <v>5.579999999999984</v>
      </c>
      <c r="Q16" s="26">
        <f>T11</f>
        <v>6.990000000000009</v>
      </c>
      <c r="R16" s="54">
        <f>AVERAGE(O16:Q16)</f>
        <v>6.746666666666651</v>
      </c>
      <c r="S16" s="26"/>
      <c r="T16" s="26"/>
      <c r="U16" s="26"/>
      <c r="V16" s="26"/>
      <c r="W16" s="26"/>
      <c r="X16" s="26"/>
      <c r="Y16" s="26"/>
      <c r="AA16" s="23" t="s">
        <v>20</v>
      </c>
      <c r="AB16" s="23">
        <f>AB10-AB15</f>
        <v>11.060000000000002</v>
      </c>
      <c r="AC16" s="23">
        <f>AC9-AC15</f>
        <v>6.019999999999982</v>
      </c>
      <c r="AD16" s="23">
        <f>AD9-AD15</f>
        <v>6.079999999999984</v>
      </c>
      <c r="AP16" s="58">
        <v>390</v>
      </c>
      <c r="AQ16" s="62">
        <v>8.6398058252427</v>
      </c>
    </row>
    <row r="17" spans="4:43" ht="14.25">
      <c r="D17">
        <f>SUM(B16:D16)</f>
        <v>19.21999999999997</v>
      </c>
      <c r="N17" s="26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3"/>
      <c r="AB17" s="23"/>
      <c r="AC17" s="23"/>
      <c r="AD17" s="23">
        <f>SUM(AB16:AD16)</f>
        <v>23.159999999999968</v>
      </c>
      <c r="AP17" s="58">
        <v>420</v>
      </c>
      <c r="AQ17" s="62">
        <v>8.1407766990291</v>
      </c>
    </row>
    <row r="18" spans="2:43" ht="14.25">
      <c r="B18">
        <f>B3-B15</f>
        <v>112.59999999999997</v>
      </c>
      <c r="C18">
        <f>B11-B15</f>
        <v>7.1299999999999955</v>
      </c>
      <c r="N18" s="25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AP18" s="59">
        <v>450</v>
      </c>
      <c r="AQ18" s="62">
        <v>7.314</v>
      </c>
    </row>
    <row r="19" spans="2:43" ht="14.25">
      <c r="B19" s="28">
        <f>B18-C18</f>
        <v>105.46999999999997</v>
      </c>
      <c r="N19" s="25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AB19">
        <f>AB3-AB15</f>
        <v>116.12</v>
      </c>
      <c r="AC19">
        <f>AB11-AB15</f>
        <v>11.019999999999982</v>
      </c>
      <c r="AP19" s="59">
        <v>480</v>
      </c>
      <c r="AQ19" s="62">
        <v>7.299029126213592</v>
      </c>
    </row>
    <row r="20" spans="1:43" ht="15" thickBot="1">
      <c r="A20" s="24" t="s">
        <v>71</v>
      </c>
      <c r="B20" s="48">
        <f>AVERAGE(E9:E11)</f>
        <v>7.706666666666649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AB20" s="28">
        <f>AB19-AC19</f>
        <v>105.10000000000002</v>
      </c>
      <c r="AP20" s="60">
        <v>500</v>
      </c>
      <c r="AQ20" s="62">
        <v>7.299029126213592</v>
      </c>
    </row>
    <row r="21" spans="1:25" ht="14.25">
      <c r="A21" s="24" t="s">
        <v>78</v>
      </c>
      <c r="B21">
        <f>32.5*32.5</f>
        <v>1056.25</v>
      </c>
      <c r="C21">
        <f>B21/10000</f>
        <v>0.105625</v>
      </c>
      <c r="N21" s="23" t="s">
        <v>20</v>
      </c>
      <c r="O21" s="23">
        <f>-O15+O10</f>
        <v>7.669999999999959</v>
      </c>
      <c r="P21" s="23">
        <f>P11-P15</f>
        <v>5.579999999999984</v>
      </c>
      <c r="Q21" s="23">
        <f>Q10-Q15</f>
        <v>6.990000000000009</v>
      </c>
      <c r="R21" s="23"/>
      <c r="S21" s="23"/>
      <c r="T21" s="23"/>
      <c r="U21" s="23"/>
      <c r="V21" s="23"/>
      <c r="W21" s="23"/>
      <c r="X21" s="23"/>
      <c r="Y21" s="23"/>
    </row>
    <row r="22" spans="14:25" ht="14.25">
      <c r="N22" s="23"/>
      <c r="O22" s="23"/>
      <c r="P22" s="23"/>
      <c r="Q22" s="23">
        <f>SUM(O21:Q21)</f>
        <v>20.239999999999952</v>
      </c>
      <c r="R22" s="23"/>
      <c r="S22" s="23"/>
      <c r="T22" s="23"/>
      <c r="U22" s="23"/>
      <c r="V22" s="23"/>
      <c r="W22" s="23"/>
      <c r="X22" s="23"/>
      <c r="Y22" s="23"/>
    </row>
    <row r="23" spans="13:26" ht="14.25"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3:26" ht="14.25">
      <c r="M24" s="44"/>
      <c r="N24" s="44"/>
      <c r="O24" s="4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2:26" ht="14.25">
      <c r="B25">
        <f>AVERAGE(D17,Q22,AD17)</f>
        <v>20.873333333333296</v>
      </c>
      <c r="C25" s="23">
        <v>20</v>
      </c>
      <c r="M25" s="44"/>
      <c r="N25" s="44"/>
      <c r="O25" s="4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3:26" ht="14.25">
      <c r="M26" s="44"/>
      <c r="N26" s="44"/>
      <c r="O26" s="4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3:26" ht="14.25"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3:26" ht="14.25"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3:26" ht="14.25">
      <c r="M29" s="44"/>
      <c r="N29" s="44"/>
      <c r="O29" s="4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3:26" ht="14.25">
      <c r="M30" s="44"/>
      <c r="N30" s="44"/>
      <c r="O30" s="4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3:26" ht="14.25">
      <c r="M31" s="44"/>
      <c r="N31" s="44"/>
      <c r="O31" s="4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3:26" ht="14.25"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3:26" ht="14.25">
      <c r="M33" s="44"/>
      <c r="N33" s="44"/>
      <c r="O33" s="125"/>
      <c r="P33" s="125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5" spans="15:16" ht="14.25">
      <c r="O35">
        <f>O3-O15</f>
        <v>112.80000000000001</v>
      </c>
      <c r="P35">
        <f>O10-O15</f>
        <v>7.669999999999959</v>
      </c>
    </row>
    <row r="36" ht="14.25">
      <c r="O36" s="28">
        <f>O35-P35</f>
        <v>105.13000000000005</v>
      </c>
    </row>
  </sheetData>
  <mergeCells count="7">
    <mergeCell ref="AA13:AB13"/>
    <mergeCell ref="AC13:AD13"/>
    <mergeCell ref="O33:P33"/>
    <mergeCell ref="A13:B13"/>
    <mergeCell ref="C13:D13"/>
    <mergeCell ref="N13:O13"/>
    <mergeCell ref="P13:Q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59"/>
  <sheetViews>
    <sheetView zoomScale="64" zoomScaleNormal="64" workbookViewId="0" topLeftCell="B1">
      <selection activeCell="P36" sqref="P36"/>
    </sheetView>
  </sheetViews>
  <sheetFormatPr defaultColWidth="9.00390625" defaultRowHeight="14.25"/>
  <cols>
    <col min="1" max="1" width="9.00390625" style="63" customWidth="1"/>
    <col min="2" max="2" width="15.125" style="63" bestFit="1" customWidth="1"/>
    <col min="3" max="3" width="13.875" style="63" customWidth="1"/>
    <col min="4" max="5" width="11.75390625" style="63" bestFit="1" customWidth="1"/>
    <col min="6" max="8" width="10.50390625" style="63" bestFit="1" customWidth="1"/>
    <col min="9" max="13" width="9.00390625" style="63" customWidth="1"/>
    <col min="14" max="14" width="14.00390625" style="63" bestFit="1" customWidth="1"/>
    <col min="15" max="15" width="13.625" style="63" bestFit="1" customWidth="1"/>
    <col min="16" max="17" width="14.00390625" style="63" bestFit="1" customWidth="1"/>
    <col min="18" max="16384" width="9.00390625" style="63" customWidth="1"/>
  </cols>
  <sheetData>
    <row r="1" spans="1:2" ht="14.25">
      <c r="A1" s="82" t="s">
        <v>133</v>
      </c>
      <c r="B1" s="82"/>
    </row>
    <row r="4" spans="2:17" ht="14.25">
      <c r="B4" s="96" t="s">
        <v>132</v>
      </c>
      <c r="N4" s="130" t="s">
        <v>145</v>
      </c>
      <c r="O4" s="130"/>
      <c r="P4" s="130"/>
      <c r="Q4" s="130"/>
    </row>
    <row r="5" spans="2:18" ht="14.25">
      <c r="B5" s="82" t="s">
        <v>21</v>
      </c>
      <c r="C5" s="82" t="s">
        <v>141</v>
      </c>
      <c r="D5" s="82" t="s">
        <v>136</v>
      </c>
      <c r="E5" s="82" t="s">
        <v>138</v>
      </c>
      <c r="F5" s="82" t="s">
        <v>137</v>
      </c>
      <c r="G5" s="63" t="s">
        <v>146</v>
      </c>
      <c r="M5" s="82" t="s">
        <v>21</v>
      </c>
      <c r="N5" s="82" t="s">
        <v>141</v>
      </c>
      <c r="O5" s="82" t="s">
        <v>136</v>
      </c>
      <c r="P5" s="82" t="s">
        <v>138</v>
      </c>
      <c r="Q5" s="82" t="s">
        <v>137</v>
      </c>
      <c r="R5" s="112">
        <v>0.03</v>
      </c>
    </row>
    <row r="6" spans="2:18" ht="14.25">
      <c r="B6" s="63" t="s">
        <v>22</v>
      </c>
      <c r="C6" s="63">
        <f>'Analisis Likopen Vit C'!$G$43</f>
        <v>1.09</v>
      </c>
      <c r="D6" s="63">
        <v>3.58</v>
      </c>
      <c r="E6" s="63">
        <v>4.77</v>
      </c>
      <c r="F6" s="63">
        <v>6.53</v>
      </c>
      <c r="G6" s="63">
        <f>STDEV(F6:F7)</f>
        <v>0.9899494936611686</v>
      </c>
      <c r="M6" s="63" t="s">
        <v>26</v>
      </c>
      <c r="N6" s="92">
        <f>AVERAGE(C6:C7)</f>
        <v>1.09</v>
      </c>
      <c r="O6" s="92">
        <f>AVERAGE(D6:D7)</f>
        <v>4.09</v>
      </c>
      <c r="P6" s="92">
        <f>AVERAGE(E6:E7)</f>
        <v>4.83</v>
      </c>
      <c r="Q6" s="92">
        <f>AVERAGE(F6:F7)</f>
        <v>5.83</v>
      </c>
      <c r="R6" s="113">
        <f>(Q6-N6)/N6</f>
        <v>4.348623853211009</v>
      </c>
    </row>
    <row r="7" spans="2:18" ht="14.25">
      <c r="B7" s="63" t="s">
        <v>23</v>
      </c>
      <c r="C7" s="63">
        <f>'Analisis Likopen Vit C'!$G$43</f>
        <v>1.09</v>
      </c>
      <c r="D7" s="63">
        <v>4.6</v>
      </c>
      <c r="E7" s="63">
        <v>4.89</v>
      </c>
      <c r="F7" s="63">
        <v>5.13</v>
      </c>
      <c r="M7" s="63" t="s">
        <v>65</v>
      </c>
      <c r="N7" s="92">
        <f>AVERAGE(C8:C9)</f>
        <v>1.09</v>
      </c>
      <c r="O7" s="92">
        <f>AVERAGE(D8:D9)</f>
        <v>2.38</v>
      </c>
      <c r="P7" s="92">
        <f>AVERAGE(E8:E9)</f>
        <v>4.495</v>
      </c>
      <c r="Q7" s="92">
        <f>AVERAGE(F8:F9)</f>
        <v>5.555</v>
      </c>
      <c r="R7" s="113">
        <f aca="true" t="shared" si="0" ref="R7:R8">(Q7-N7)/N7</f>
        <v>4.0963302752293576</v>
      </c>
    </row>
    <row r="8" spans="2:18" ht="14.25">
      <c r="B8" s="63" t="s">
        <v>24</v>
      </c>
      <c r="C8" s="63">
        <f>'Analisis Likopen Vit C'!$G$43</f>
        <v>1.09</v>
      </c>
      <c r="D8" s="63">
        <v>2.37</v>
      </c>
      <c r="E8" s="63">
        <v>4.34</v>
      </c>
      <c r="F8" s="63">
        <v>6.74</v>
      </c>
      <c r="G8" s="63">
        <f>STDEV(F8:F9)</f>
        <v>1.67584307141212</v>
      </c>
      <c r="M8" s="63" t="s">
        <v>27</v>
      </c>
      <c r="N8" s="92">
        <f>AVERAGE(C10:C11)</f>
        <v>1.09</v>
      </c>
      <c r="O8" s="92">
        <f>AVERAGE(D10:D11)</f>
        <v>1.74</v>
      </c>
      <c r="P8" s="92">
        <f>AVERAGE(E10:E11)</f>
        <v>1.685</v>
      </c>
      <c r="Q8" s="92">
        <f>AVERAGE(F10:F11)</f>
        <v>5.24</v>
      </c>
      <c r="R8" s="113">
        <f t="shared" si="0"/>
        <v>3.8073394495412844</v>
      </c>
    </row>
    <row r="9" spans="2:17" ht="14.25">
      <c r="B9" s="63" t="s">
        <v>134</v>
      </c>
      <c r="C9" s="63">
        <f>'Analisis Likopen Vit C'!$G$43</f>
        <v>1.09</v>
      </c>
      <c r="D9" s="63">
        <v>2.39</v>
      </c>
      <c r="E9" s="63">
        <v>4.65</v>
      </c>
      <c r="F9" s="63">
        <v>4.37</v>
      </c>
      <c r="M9" s="82" t="s">
        <v>28</v>
      </c>
      <c r="N9" s="82" t="s">
        <v>141</v>
      </c>
      <c r="O9" s="82" t="s">
        <v>136</v>
      </c>
      <c r="P9" s="82" t="s">
        <v>138</v>
      </c>
      <c r="Q9" s="82" t="s">
        <v>137</v>
      </c>
    </row>
    <row r="10" spans="2:18" ht="14.25">
      <c r="B10" s="63" t="s">
        <v>25</v>
      </c>
      <c r="C10" s="63">
        <f>'Analisis Likopen Vit C'!$G$43</f>
        <v>1.09</v>
      </c>
      <c r="D10" s="63">
        <v>1.67</v>
      </c>
      <c r="E10" s="63">
        <v>1.38</v>
      </c>
      <c r="F10" s="63">
        <v>5.86</v>
      </c>
      <c r="G10" s="63">
        <f>STDEV(F10:F11)</f>
        <v>0.8768124086713183</v>
      </c>
      <c r="M10" s="63" t="s">
        <v>26</v>
      </c>
      <c r="N10" s="92">
        <f>AVERAGE(C13:C14)</f>
        <v>1.09</v>
      </c>
      <c r="O10" s="92">
        <f>AVERAGE(D13:D14)</f>
        <v>1.8050000000000002</v>
      </c>
      <c r="P10" s="92">
        <f>AVERAGE(E13:E14)</f>
        <v>3.96</v>
      </c>
      <c r="Q10" s="92">
        <f>AVERAGE(F13:F14)</f>
        <v>5.115</v>
      </c>
      <c r="R10" s="113">
        <f>(Q10-N10)/N10</f>
        <v>3.6926605504587156</v>
      </c>
    </row>
    <row r="11" spans="2:18" ht="14.25">
      <c r="B11" s="63" t="s">
        <v>135</v>
      </c>
      <c r="C11" s="63">
        <f>'Analisis Likopen Vit C'!$G$43</f>
        <v>1.09</v>
      </c>
      <c r="D11" s="63">
        <v>1.81</v>
      </c>
      <c r="E11" s="63">
        <v>1.99</v>
      </c>
      <c r="F11" s="63">
        <v>4.62</v>
      </c>
      <c r="M11" s="63" t="s">
        <v>65</v>
      </c>
      <c r="N11" s="92">
        <f>AVERAGE(C15:C16)</f>
        <v>1.09</v>
      </c>
      <c r="O11" s="92">
        <f>AVERAGE(D15:D16)</f>
        <v>1.435</v>
      </c>
      <c r="P11" s="92">
        <f>AVERAGE(E15:E16)</f>
        <v>3.855</v>
      </c>
      <c r="Q11" s="92">
        <f>AVERAGE(F15:F16)</f>
        <v>3.965</v>
      </c>
      <c r="R11" s="113">
        <f aca="true" t="shared" si="1" ref="R11:R12">(Q11-N11)/N11</f>
        <v>2.6376146788990824</v>
      </c>
    </row>
    <row r="12" spans="2:18" ht="14.25">
      <c r="B12" s="82" t="s">
        <v>28</v>
      </c>
      <c r="C12" s="82" t="s">
        <v>141</v>
      </c>
      <c r="D12" s="82" t="s">
        <v>136</v>
      </c>
      <c r="E12" s="82" t="s">
        <v>138</v>
      </c>
      <c r="F12" s="82" t="s">
        <v>137</v>
      </c>
      <c r="M12" s="63" t="s">
        <v>27</v>
      </c>
      <c r="N12" s="92">
        <f>AVERAGE(C17:C18)</f>
        <v>1.09</v>
      </c>
      <c r="O12" s="92">
        <f>AVERAGE(D17:D18)</f>
        <v>1.1800000000000002</v>
      </c>
      <c r="P12" s="92">
        <f>AVERAGE(E17:E18)</f>
        <v>2.085</v>
      </c>
      <c r="Q12" s="92">
        <f>AVERAGE(F17:F18)</f>
        <v>1.9649999999999999</v>
      </c>
      <c r="R12" s="113">
        <f t="shared" si="1"/>
        <v>0.8027522935779814</v>
      </c>
    </row>
    <row r="13" spans="2:7" ht="14.25">
      <c r="B13" s="63" t="s">
        <v>22</v>
      </c>
      <c r="C13" s="63">
        <f>'Analisis Likopen Vit C'!$G$43</f>
        <v>1.09</v>
      </c>
      <c r="D13" s="63">
        <v>1.82</v>
      </c>
      <c r="E13" s="63">
        <v>3.73</v>
      </c>
      <c r="F13" s="63">
        <v>4.99</v>
      </c>
      <c r="G13" s="63">
        <f>STDEV(F13:F14)</f>
        <v>0.1767766952966369</v>
      </c>
    </row>
    <row r="14" spans="2:6" ht="14.25">
      <c r="B14" s="63" t="s">
        <v>23</v>
      </c>
      <c r="C14" s="63">
        <f>'Analisis Likopen Vit C'!$G$43</f>
        <v>1.09</v>
      </c>
      <c r="D14" s="63">
        <v>1.79</v>
      </c>
      <c r="E14" s="63">
        <v>4.19</v>
      </c>
      <c r="F14" s="63">
        <v>5.24</v>
      </c>
    </row>
    <row r="15" spans="2:7" ht="14.25">
      <c r="B15" s="63" t="s">
        <v>24</v>
      </c>
      <c r="C15" s="63">
        <f>'Analisis Likopen Vit C'!$G$43</f>
        <v>1.09</v>
      </c>
      <c r="D15" s="63">
        <v>1.57</v>
      </c>
      <c r="E15" s="63">
        <v>4.12</v>
      </c>
      <c r="F15" s="63">
        <v>4.02</v>
      </c>
      <c r="G15" s="63">
        <f>STDEV(F15:F16)</f>
        <v>0.07778174593051983</v>
      </c>
    </row>
    <row r="16" spans="2:6" ht="14.25">
      <c r="B16" s="63" t="s">
        <v>134</v>
      </c>
      <c r="C16" s="63">
        <f>'Analisis Likopen Vit C'!$G$43</f>
        <v>1.09</v>
      </c>
      <c r="D16" s="63">
        <v>1.3</v>
      </c>
      <c r="E16" s="63">
        <v>3.59</v>
      </c>
      <c r="F16" s="63">
        <v>3.91</v>
      </c>
    </row>
    <row r="17" spans="2:7" ht="14.25">
      <c r="B17" s="63" t="s">
        <v>25</v>
      </c>
      <c r="C17" s="63">
        <f>'Analisis Likopen Vit C'!$G$43</f>
        <v>1.09</v>
      </c>
      <c r="D17" s="63">
        <v>1.24</v>
      </c>
      <c r="E17" s="63">
        <v>2.18</v>
      </c>
      <c r="F17" s="63">
        <v>1.95</v>
      </c>
      <c r="G17" s="63">
        <f>STDEV(F17:F18)</f>
        <v>0.021213203435596444</v>
      </c>
    </row>
    <row r="18" spans="2:6" ht="14.25">
      <c r="B18" s="63" t="s">
        <v>135</v>
      </c>
      <c r="C18" s="63">
        <f>'Analisis Likopen Vit C'!$G$43</f>
        <v>1.09</v>
      </c>
      <c r="D18" s="63">
        <v>1.12</v>
      </c>
      <c r="E18" s="63">
        <v>1.99</v>
      </c>
      <c r="F18" s="63">
        <v>1.98</v>
      </c>
    </row>
    <row r="21" spans="4:5" ht="14.25">
      <c r="D21" s="63">
        <f>0.25/100</f>
        <v>0.0025</v>
      </c>
      <c r="E21" s="63" t="s">
        <v>112</v>
      </c>
    </row>
    <row r="22" spans="4:5" ht="14.25">
      <c r="D22" s="63">
        <f>D21/10^-3</f>
        <v>2.5</v>
      </c>
      <c r="E22" s="63" t="s">
        <v>113</v>
      </c>
    </row>
    <row r="23" spans="2:17" ht="14.25" customHeight="1">
      <c r="B23" s="97" t="s">
        <v>2</v>
      </c>
      <c r="C23" s="129" t="s">
        <v>131</v>
      </c>
      <c r="D23" s="129"/>
      <c r="E23" s="129"/>
      <c r="F23" s="129"/>
      <c r="G23" s="130" t="s">
        <v>140</v>
      </c>
      <c r="H23" s="130"/>
      <c r="I23" s="130"/>
      <c r="J23" s="130"/>
      <c r="N23" s="130" t="s">
        <v>140</v>
      </c>
      <c r="O23" s="130"/>
      <c r="P23" s="130"/>
      <c r="Q23" s="130"/>
    </row>
    <row r="24" spans="2:17" ht="14.25">
      <c r="B24" s="82" t="s">
        <v>21</v>
      </c>
      <c r="C24" s="82" t="s">
        <v>141</v>
      </c>
      <c r="D24" s="82" t="s">
        <v>136</v>
      </c>
      <c r="E24" s="82" t="s">
        <v>138</v>
      </c>
      <c r="F24" s="82" t="s">
        <v>137</v>
      </c>
      <c r="G24" s="105" t="s">
        <v>141</v>
      </c>
      <c r="H24" s="105" t="s">
        <v>136</v>
      </c>
      <c r="I24" s="105" t="s">
        <v>138</v>
      </c>
      <c r="J24" s="105" t="s">
        <v>137</v>
      </c>
      <c r="K24" s="63" t="s">
        <v>146</v>
      </c>
      <c r="M24" s="82" t="s">
        <v>21</v>
      </c>
      <c r="N24" s="82" t="s">
        <v>141</v>
      </c>
      <c r="O24" s="82" t="s">
        <v>136</v>
      </c>
      <c r="P24" s="82" t="s">
        <v>138</v>
      </c>
      <c r="Q24" s="82" t="s">
        <v>137</v>
      </c>
    </row>
    <row r="25" spans="2:17" ht="14.25">
      <c r="B25" s="63" t="s">
        <v>22</v>
      </c>
      <c r="C25" s="63">
        <v>0.3635</v>
      </c>
      <c r="D25" s="63">
        <v>0.33299999999999996</v>
      </c>
      <c r="E25" s="63">
        <v>0.31899999999999995</v>
      </c>
      <c r="F25" s="63">
        <v>0.208</v>
      </c>
      <c r="G25" s="106">
        <f>(C25/0.3415)*100/$D$22</f>
        <v>42.57686676427525</v>
      </c>
      <c r="H25" s="106">
        <f>(D25/0.3415)*100/$D$22</f>
        <v>39.00439238653001</v>
      </c>
      <c r="I25" s="106">
        <f>(E25/0.3415)*100/$D$22</f>
        <v>37.36456808199121</v>
      </c>
      <c r="J25" s="106">
        <f>(F25/0.3415)*100/$D$22</f>
        <v>24.363103953147874</v>
      </c>
      <c r="K25" s="63">
        <f>STDEV(J25:J26)</f>
        <v>0.7454127122317903</v>
      </c>
      <c r="M25" s="63" t="s">
        <v>26</v>
      </c>
      <c r="N25" s="92">
        <f>AVERAGE(G25:G26)</f>
        <v>42.57686676427525</v>
      </c>
      <c r="O25" s="92">
        <f>AVERAGE(H25:H26)</f>
        <v>39.53147877013177</v>
      </c>
      <c r="P25" s="92">
        <f>AVERAGE(I25:I26)</f>
        <v>35.84187408491947</v>
      </c>
      <c r="Q25" s="92">
        <f>AVERAGE(J25:J26)</f>
        <v>23.83601756954612</v>
      </c>
    </row>
    <row r="26" spans="2:17" ht="14.25">
      <c r="B26" s="63" t="s">
        <v>23</v>
      </c>
      <c r="C26" s="63">
        <v>0.3635</v>
      </c>
      <c r="D26" s="63">
        <v>0.34199999999999997</v>
      </c>
      <c r="E26" s="63">
        <v>0.29300000000000004</v>
      </c>
      <c r="F26" s="63">
        <v>0.199</v>
      </c>
      <c r="G26" s="106">
        <f aca="true" t="shared" si="2" ref="G26:G30">(C26/0.3415)*100/$D$22</f>
        <v>42.57686676427525</v>
      </c>
      <c r="H26" s="106">
        <f aca="true" t="shared" si="3" ref="H26:J30">(D26/0.3415)*100/$D$22</f>
        <v>40.058565153733525</v>
      </c>
      <c r="I26" s="106">
        <f t="shared" si="3"/>
        <v>34.319180087847734</v>
      </c>
      <c r="J26" s="106">
        <f t="shared" si="3"/>
        <v>23.308931185944363</v>
      </c>
      <c r="M26" s="63" t="s">
        <v>65</v>
      </c>
      <c r="N26" s="92">
        <f>AVERAGE(G27:G28)</f>
        <v>42.57686676427525</v>
      </c>
      <c r="O26" s="92">
        <f>AVERAGE(H27:H28)</f>
        <v>31.800878477306</v>
      </c>
      <c r="P26" s="92">
        <f>AVERAGE(I27:I28)</f>
        <v>31.273792093704245</v>
      </c>
      <c r="Q26" s="92">
        <f>AVERAGE(J27:J28)</f>
        <v>22.489019033674964</v>
      </c>
    </row>
    <row r="27" spans="2:17" ht="14.25">
      <c r="B27" s="63" t="s">
        <v>24</v>
      </c>
      <c r="C27" s="63">
        <v>0.3635</v>
      </c>
      <c r="D27" s="63">
        <v>0.281</v>
      </c>
      <c r="E27" s="63">
        <v>0.256</v>
      </c>
      <c r="F27" s="63">
        <v>0.196</v>
      </c>
      <c r="G27" s="106">
        <f t="shared" si="2"/>
        <v>42.57686676427525</v>
      </c>
      <c r="H27" s="106">
        <f t="shared" si="3"/>
        <v>32.91361639824304</v>
      </c>
      <c r="I27" s="106">
        <f t="shared" si="3"/>
        <v>29.98535871156661</v>
      </c>
      <c r="J27" s="106">
        <f t="shared" si="3"/>
        <v>22.95754026354319</v>
      </c>
      <c r="K27" s="63">
        <f>STDEV(J27:J28)</f>
        <v>0.6625890775393686</v>
      </c>
      <c r="M27" s="63" t="s">
        <v>27</v>
      </c>
      <c r="N27" s="92">
        <f>AVERAGE(G29:G30)</f>
        <v>42.57686676427525</v>
      </c>
      <c r="O27" s="92">
        <f>AVERAGE(H29:H30)</f>
        <v>30.688140556368957</v>
      </c>
      <c r="P27" s="92">
        <f>AVERAGE(I29:I30)</f>
        <v>29.69253294289897</v>
      </c>
      <c r="Q27" s="92">
        <f>AVERAGE(J29:J30)</f>
        <v>21.903367496339676</v>
      </c>
    </row>
    <row r="28" spans="2:17" ht="14.25">
      <c r="B28" s="63" t="s">
        <v>134</v>
      </c>
      <c r="C28" s="63">
        <v>0.3635</v>
      </c>
      <c r="D28" s="63">
        <v>0.262</v>
      </c>
      <c r="E28" s="63">
        <v>0.278</v>
      </c>
      <c r="F28" s="63">
        <v>0.188</v>
      </c>
      <c r="G28" s="106">
        <f t="shared" si="2"/>
        <v>42.57686676427525</v>
      </c>
      <c r="H28" s="106">
        <f t="shared" si="3"/>
        <v>30.68814055636896</v>
      </c>
      <c r="I28" s="106">
        <f t="shared" si="3"/>
        <v>32.56222547584188</v>
      </c>
      <c r="J28" s="106">
        <f t="shared" si="3"/>
        <v>22.020497803806737</v>
      </c>
      <c r="M28" s="82" t="s">
        <v>28</v>
      </c>
      <c r="N28" s="82" t="s">
        <v>141</v>
      </c>
      <c r="O28" s="82" t="s">
        <v>136</v>
      </c>
      <c r="P28" s="82" t="s">
        <v>138</v>
      </c>
      <c r="Q28" s="82" t="s">
        <v>137</v>
      </c>
    </row>
    <row r="29" spans="2:17" ht="14.25">
      <c r="B29" s="63" t="s">
        <v>25</v>
      </c>
      <c r="C29" s="63">
        <v>0.3635</v>
      </c>
      <c r="D29" s="63">
        <v>0.269</v>
      </c>
      <c r="E29" s="63">
        <v>0.258</v>
      </c>
      <c r="F29" s="63">
        <v>0.19</v>
      </c>
      <c r="G29" s="106">
        <f t="shared" si="2"/>
        <v>42.57686676427525</v>
      </c>
      <c r="H29" s="106">
        <f t="shared" si="3"/>
        <v>31.50805270863836</v>
      </c>
      <c r="I29" s="106">
        <f t="shared" si="3"/>
        <v>30.21961932650073</v>
      </c>
      <c r="J29" s="106">
        <f t="shared" si="3"/>
        <v>22.25475841874085</v>
      </c>
      <c r="K29" s="63">
        <f>STDEV(J29:J30)</f>
        <v>0.4969418081545302</v>
      </c>
      <c r="M29" s="63" t="s">
        <v>26</v>
      </c>
      <c r="N29" s="92">
        <f>AVERAGE(G32:G33)</f>
        <v>42.57686676427525</v>
      </c>
      <c r="O29" s="92">
        <f>AVERAGE(H32:H33)</f>
        <v>31.918008784773054</v>
      </c>
      <c r="P29" s="92">
        <f>AVERAGE(I32:I33)</f>
        <v>30.62957540263543</v>
      </c>
      <c r="Q29" s="92">
        <f>AVERAGE(J32:J33)</f>
        <v>16.98389458272328</v>
      </c>
    </row>
    <row r="30" spans="2:17" ht="14.25">
      <c r="B30" s="63" t="s">
        <v>135</v>
      </c>
      <c r="C30" s="63">
        <v>0.3635</v>
      </c>
      <c r="D30" s="63">
        <v>0.255</v>
      </c>
      <c r="E30" s="63">
        <v>0.249</v>
      </c>
      <c r="F30" s="63">
        <v>0.184</v>
      </c>
      <c r="G30" s="106">
        <f t="shared" si="2"/>
        <v>42.57686676427525</v>
      </c>
      <c r="H30" s="106">
        <f t="shared" si="3"/>
        <v>29.868228404099558</v>
      </c>
      <c r="I30" s="106">
        <f t="shared" si="3"/>
        <v>29.165446559297216</v>
      </c>
      <c r="J30" s="106">
        <f t="shared" si="3"/>
        <v>21.551976573938504</v>
      </c>
      <c r="M30" s="63" t="s">
        <v>65</v>
      </c>
      <c r="N30" s="92">
        <f>AVERAGE(G34:G35)</f>
        <v>42.57686676427525</v>
      </c>
      <c r="O30" s="92">
        <f>AVERAGE(H34:H35)</f>
        <v>28.111273792093698</v>
      </c>
      <c r="P30" s="92">
        <f>AVERAGE(I34:I35)</f>
        <v>22.371888726207903</v>
      </c>
      <c r="Q30" s="92">
        <f>AVERAGE(J34:J35)</f>
        <v>14.055636896046853</v>
      </c>
    </row>
    <row r="31" spans="2:17" ht="14.25">
      <c r="B31" s="82" t="s">
        <v>28</v>
      </c>
      <c r="C31" s="82" t="s">
        <v>141</v>
      </c>
      <c r="D31" s="82" t="s">
        <v>136</v>
      </c>
      <c r="E31" s="82" t="s">
        <v>138</v>
      </c>
      <c r="F31" s="82" t="s">
        <v>137</v>
      </c>
      <c r="G31" s="105" t="s">
        <v>141</v>
      </c>
      <c r="H31" s="105" t="s">
        <v>136</v>
      </c>
      <c r="I31" s="105" t="s">
        <v>138</v>
      </c>
      <c r="J31" s="105" t="s">
        <v>137</v>
      </c>
      <c r="M31" s="63" t="s">
        <v>27</v>
      </c>
      <c r="N31" s="92">
        <f>AVERAGE(G36:G37)</f>
        <v>42.57686676427525</v>
      </c>
      <c r="O31" s="92">
        <f>AVERAGE(H36:H37)</f>
        <v>22.07906295754026</v>
      </c>
      <c r="P31" s="92">
        <f>AVERAGE(I36:I37)</f>
        <v>20.029282576866763</v>
      </c>
      <c r="Q31" s="92">
        <f>AVERAGE(J36:J37)</f>
        <v>12.240117130307464</v>
      </c>
    </row>
    <row r="32" spans="2:11" ht="14.25">
      <c r="B32" s="63" t="s">
        <v>22</v>
      </c>
      <c r="C32" s="63">
        <v>0.3635</v>
      </c>
      <c r="D32" s="63">
        <v>0.27499999999999997</v>
      </c>
      <c r="E32" s="63">
        <v>0.266</v>
      </c>
      <c r="F32" s="63">
        <v>0.14700000000000002</v>
      </c>
      <c r="G32" s="106">
        <f>(C32/0.3415)*100/$D$22</f>
        <v>42.57686676427525</v>
      </c>
      <c r="H32" s="106">
        <f>(D32/0.3415)*100/$D$22</f>
        <v>32.2108345534407</v>
      </c>
      <c r="I32" s="106">
        <f>(E32/0.3415)*100/$D$22</f>
        <v>31.15666178623719</v>
      </c>
      <c r="J32" s="106">
        <f>(F32/0.3415)*100/$D$22</f>
        <v>17.218155197657396</v>
      </c>
      <c r="K32" s="63">
        <f>STDEV(J32:J33)</f>
        <v>0.3312945387696868</v>
      </c>
    </row>
    <row r="33" spans="2:10" ht="14.25">
      <c r="B33" s="63" t="s">
        <v>23</v>
      </c>
      <c r="C33" s="63">
        <v>0.3635</v>
      </c>
      <c r="D33" s="63">
        <v>0.26999999999999996</v>
      </c>
      <c r="E33" s="63">
        <v>0.257</v>
      </c>
      <c r="F33" s="63">
        <v>0.14300000000000002</v>
      </c>
      <c r="G33" s="106">
        <f aca="true" t="shared" si="4" ref="G33:G37">(C33/0.3415)*100/$D$22</f>
        <v>42.57686676427525</v>
      </c>
      <c r="H33" s="106">
        <f aca="true" t="shared" si="5" ref="H33:J37">(D33/0.3415)*100/$D$22</f>
        <v>31.62518301610541</v>
      </c>
      <c r="I33" s="106">
        <f t="shared" si="5"/>
        <v>30.102489019033676</v>
      </c>
      <c r="J33" s="106">
        <f t="shared" si="5"/>
        <v>16.749633967789165</v>
      </c>
    </row>
    <row r="34" spans="2:11" ht="14.25">
      <c r="B34" s="63" t="s">
        <v>24</v>
      </c>
      <c r="C34" s="63">
        <v>0.3635</v>
      </c>
      <c r="D34" s="63">
        <v>0.25</v>
      </c>
      <c r="E34" s="63">
        <v>0.186</v>
      </c>
      <c r="F34" s="63">
        <v>0.127</v>
      </c>
      <c r="G34" s="106">
        <f t="shared" si="4"/>
        <v>42.57686676427525</v>
      </c>
      <c r="H34" s="106">
        <f t="shared" si="5"/>
        <v>29.28257686676427</v>
      </c>
      <c r="I34" s="106">
        <f t="shared" si="5"/>
        <v>21.786237188872615</v>
      </c>
      <c r="J34" s="106">
        <f t="shared" si="5"/>
        <v>14.87554904831625</v>
      </c>
      <c r="K34" s="63">
        <f>STDEV(J34:J35)</f>
        <v>1.1595308856938975</v>
      </c>
    </row>
    <row r="35" spans="2:17" ht="14.25">
      <c r="B35" s="63" t="s">
        <v>134</v>
      </c>
      <c r="C35" s="63">
        <v>0.3635</v>
      </c>
      <c r="D35" s="63">
        <v>0.22999999999999998</v>
      </c>
      <c r="E35" s="63">
        <v>0.196</v>
      </c>
      <c r="F35" s="63">
        <v>0.113</v>
      </c>
      <c r="G35" s="106">
        <f t="shared" si="4"/>
        <v>42.57686676427525</v>
      </c>
      <c r="H35" s="106">
        <f t="shared" si="5"/>
        <v>26.93997071742313</v>
      </c>
      <c r="I35" s="106">
        <f t="shared" si="5"/>
        <v>22.95754026354319</v>
      </c>
      <c r="J35" s="106">
        <f t="shared" si="5"/>
        <v>13.235724743777453</v>
      </c>
      <c r="P35" s="63">
        <f>Q27/Q29</f>
        <v>1.289655172413793</v>
      </c>
      <c r="Q35" s="92">
        <f>N27-Q27</f>
        <v>20.673499267935576</v>
      </c>
    </row>
    <row r="36" spans="2:17" ht="14.25">
      <c r="B36" s="63" t="s">
        <v>25</v>
      </c>
      <c r="C36" s="63">
        <v>0.3635</v>
      </c>
      <c r="D36" s="63">
        <v>0.186</v>
      </c>
      <c r="E36" s="63">
        <v>0.15799999999999997</v>
      </c>
      <c r="F36" s="63">
        <v>0.103</v>
      </c>
      <c r="G36" s="106">
        <f t="shared" si="4"/>
        <v>42.57686676427525</v>
      </c>
      <c r="H36" s="106">
        <f t="shared" si="5"/>
        <v>21.786237188872615</v>
      </c>
      <c r="I36" s="106">
        <f t="shared" si="5"/>
        <v>18.506588579795018</v>
      </c>
      <c r="J36" s="106">
        <f t="shared" si="5"/>
        <v>12.06442166910688</v>
      </c>
      <c r="K36" s="63">
        <f>STDEV(J36:J37)</f>
        <v>0.24847090407726383</v>
      </c>
      <c r="Q36" s="63">
        <f>Q35/N27</f>
        <v>0.4855570839064649</v>
      </c>
    </row>
    <row r="37" spans="2:17" ht="14.25">
      <c r="B37" s="63" t="s">
        <v>135</v>
      </c>
      <c r="C37" s="63">
        <v>0.3635</v>
      </c>
      <c r="D37" s="63">
        <v>0.191</v>
      </c>
      <c r="E37" s="63">
        <v>0.184</v>
      </c>
      <c r="F37" s="63">
        <v>0.106</v>
      </c>
      <c r="G37" s="106">
        <f t="shared" si="4"/>
        <v>42.57686676427525</v>
      </c>
      <c r="H37" s="106">
        <f t="shared" si="5"/>
        <v>22.371888726207906</v>
      </c>
      <c r="I37" s="106">
        <f t="shared" si="5"/>
        <v>21.551976573938504</v>
      </c>
      <c r="J37" s="106">
        <f t="shared" si="5"/>
        <v>12.41581259150805</v>
      </c>
      <c r="Q37" s="92">
        <f>N31-Q31</f>
        <v>30.336749633967788</v>
      </c>
    </row>
    <row r="38" ht="14.25">
      <c r="Q38" s="63">
        <f>Q37/N31</f>
        <v>0.7125171939477304</v>
      </c>
    </row>
    <row r="40" spans="1:6" ht="14.25">
      <c r="A40" s="63" t="s">
        <v>87</v>
      </c>
      <c r="B40" s="63">
        <v>176.12</v>
      </c>
      <c r="C40" s="63" t="s">
        <v>97</v>
      </c>
      <c r="D40" s="63">
        <v>0.005</v>
      </c>
      <c r="E40" s="63" t="s">
        <v>144</v>
      </c>
      <c r="F40" s="63">
        <v>25</v>
      </c>
    </row>
    <row r="41" spans="1:6" ht="14.25">
      <c r="A41" s="63" t="s">
        <v>88</v>
      </c>
      <c r="B41" s="63">
        <v>536.873</v>
      </c>
      <c r="C41" s="63" t="s">
        <v>92</v>
      </c>
      <c r="D41" s="63">
        <f>D40/1</f>
        <v>0.005</v>
      </c>
      <c r="E41" s="79" t="s">
        <v>104</v>
      </c>
      <c r="F41" s="63">
        <f>2.5/100</f>
        <v>0.025</v>
      </c>
    </row>
    <row r="42" spans="1:4" ht="14.25">
      <c r="A42" s="63" t="s">
        <v>89</v>
      </c>
      <c r="B42" s="63">
        <v>253.8</v>
      </c>
      <c r="C42" s="63" t="s">
        <v>106</v>
      </c>
      <c r="D42" s="63">
        <v>330</v>
      </c>
    </row>
    <row r="43" spans="3:4" ht="14.25">
      <c r="C43" s="63" t="s">
        <v>107</v>
      </c>
      <c r="D43" s="63">
        <f>D42/1000</f>
        <v>0.33</v>
      </c>
    </row>
    <row r="45" spans="2:17" ht="14.25">
      <c r="B45" s="83" t="s">
        <v>142</v>
      </c>
      <c r="C45" s="82" t="s">
        <v>139</v>
      </c>
      <c r="G45" s="130" t="s">
        <v>143</v>
      </c>
      <c r="H45" s="130"/>
      <c r="I45" s="130"/>
      <c r="J45" s="130"/>
      <c r="N45" s="130" t="s">
        <v>143</v>
      </c>
      <c r="O45" s="130"/>
      <c r="P45" s="130"/>
      <c r="Q45" s="130"/>
    </row>
    <row r="46" spans="2:17" ht="14.25">
      <c r="B46" s="82" t="s">
        <v>21</v>
      </c>
      <c r="C46" s="82" t="s">
        <v>141</v>
      </c>
      <c r="D46" s="82" t="s">
        <v>136</v>
      </c>
      <c r="E46" s="82" t="s">
        <v>138</v>
      </c>
      <c r="F46" s="82" t="s">
        <v>137</v>
      </c>
      <c r="G46" s="105" t="s">
        <v>141</v>
      </c>
      <c r="H46" s="105" t="s">
        <v>136</v>
      </c>
      <c r="I46" s="105" t="s">
        <v>138</v>
      </c>
      <c r="J46" s="105" t="s">
        <v>137</v>
      </c>
      <c r="K46" s="63" t="s">
        <v>146</v>
      </c>
      <c r="M46" s="82" t="s">
        <v>21</v>
      </c>
      <c r="N46" s="82" t="s">
        <v>141</v>
      </c>
      <c r="O46" s="82" t="s">
        <v>136</v>
      </c>
      <c r="P46" s="82" t="s">
        <v>138</v>
      </c>
      <c r="Q46" s="82" t="s">
        <v>137</v>
      </c>
    </row>
    <row r="47" spans="2:17" ht="14.25">
      <c r="B47" s="63" t="s">
        <v>22</v>
      </c>
      <c r="C47" s="63">
        <v>0.875</v>
      </c>
      <c r="D47" s="63">
        <v>0.3</v>
      </c>
      <c r="E47" s="63">
        <v>0.3</v>
      </c>
      <c r="F47" s="63">
        <v>0.25</v>
      </c>
      <c r="G47" s="79">
        <f>((C47*$D$41/1000)*$B$40)*1000*100/($F$40*$F$41)</f>
        <v>123.28400000000002</v>
      </c>
      <c r="H47" s="79">
        <f aca="true" t="shared" si="6" ref="H47:J47">((D47*$D$41/1000)*$B$40)*1000*100/($F$40*$F$41)</f>
        <v>42.268800000000006</v>
      </c>
      <c r="I47" s="79">
        <f t="shared" si="6"/>
        <v>42.268800000000006</v>
      </c>
      <c r="J47" s="79">
        <f t="shared" si="6"/>
        <v>35.224000000000004</v>
      </c>
      <c r="K47" s="63">
        <f>STDEV(J47:J48)</f>
        <v>4.9814258521029915</v>
      </c>
      <c r="M47" s="63" t="s">
        <v>26</v>
      </c>
      <c r="N47" s="92">
        <f>AVERAGE(G47:G48)</f>
        <v>123.28400000000002</v>
      </c>
      <c r="O47" s="92">
        <f>AVERAGE(H47:H48)</f>
        <v>45.7912</v>
      </c>
      <c r="P47" s="92">
        <f>AVERAGE(I47:I48)</f>
        <v>42.268800000000006</v>
      </c>
      <c r="Q47" s="92">
        <f>AVERAGE(J47:J48)</f>
        <v>38.74640000000001</v>
      </c>
    </row>
    <row r="48" spans="2:17" ht="14.25">
      <c r="B48" s="63" t="s">
        <v>23</v>
      </c>
      <c r="C48" s="63">
        <v>0.875</v>
      </c>
      <c r="D48" s="63">
        <v>0.35</v>
      </c>
      <c r="E48" s="63">
        <v>0.3</v>
      </c>
      <c r="F48" s="63">
        <v>0.3</v>
      </c>
      <c r="G48" s="79">
        <f aca="true" t="shared" si="7" ref="G48:G52">((C48*$D$41/1000)*$B$40)*1000*100/($F$40*$F$41)</f>
        <v>123.28400000000002</v>
      </c>
      <c r="H48" s="79">
        <f aca="true" t="shared" si="8" ref="H48:H52">((D48*$D$41/1000)*$B$40)*1000*100/($F$40*$F$41)</f>
        <v>49.313599999999994</v>
      </c>
      <c r="I48" s="79">
        <f aca="true" t="shared" si="9" ref="I48:I52">((E48*$D$41/1000)*$B$40)*1000*100/($F$40*$F$41)</f>
        <v>42.268800000000006</v>
      </c>
      <c r="J48" s="79">
        <f aca="true" t="shared" si="10" ref="J48:J52">((F48*$D$41/1000)*$B$40)*1000*100/($F$40*$F$41)</f>
        <v>42.268800000000006</v>
      </c>
      <c r="M48" s="63" t="s">
        <v>65</v>
      </c>
      <c r="N48" s="92">
        <f>AVERAGE(G49:G50)</f>
        <v>123.28400000000002</v>
      </c>
      <c r="O48" s="92">
        <f>AVERAGE(H49:H50)</f>
        <v>102.14959999999999</v>
      </c>
      <c r="P48" s="92">
        <f>AVERAGE(I49:I50)</f>
        <v>84.53760000000001</v>
      </c>
      <c r="Q48" s="92">
        <f>AVERAGE(J49:J50)</f>
        <v>73.97040000000001</v>
      </c>
    </row>
    <row r="49" spans="2:17" ht="14.25">
      <c r="B49" s="63" t="s">
        <v>24</v>
      </c>
      <c r="C49" s="63">
        <v>0.875</v>
      </c>
      <c r="D49" s="63">
        <v>0.7</v>
      </c>
      <c r="E49" s="63">
        <v>0.6</v>
      </c>
      <c r="F49" s="63">
        <v>0.55</v>
      </c>
      <c r="G49" s="79">
        <f t="shared" si="7"/>
        <v>123.28400000000002</v>
      </c>
      <c r="H49" s="79">
        <f t="shared" si="8"/>
        <v>98.62719999999999</v>
      </c>
      <c r="I49" s="79">
        <f t="shared" si="9"/>
        <v>84.53760000000001</v>
      </c>
      <c r="J49" s="79">
        <f t="shared" si="10"/>
        <v>77.49280000000002</v>
      </c>
      <c r="K49" s="63">
        <f>STDEV(J49:J50)</f>
        <v>4.981425852102997</v>
      </c>
      <c r="M49" s="63" t="s">
        <v>27</v>
      </c>
      <c r="N49" s="92">
        <f>AVERAGE(G51:G52)</f>
        <v>123.28400000000002</v>
      </c>
      <c r="O49" s="92">
        <f>AVERAGE(H51:H52)</f>
        <v>81.01520000000002</v>
      </c>
      <c r="P49" s="92">
        <f>AVERAGE(I51:I52)</f>
        <v>70.44800000000001</v>
      </c>
      <c r="Q49" s="92">
        <f>AVERAGE(J51:J52)</f>
        <v>52.836000000000006</v>
      </c>
    </row>
    <row r="50" spans="2:17" ht="14.25">
      <c r="B50" s="63" t="s">
        <v>134</v>
      </c>
      <c r="C50" s="63">
        <v>0.875</v>
      </c>
      <c r="D50" s="63">
        <v>0.75</v>
      </c>
      <c r="E50" s="63">
        <v>0.6</v>
      </c>
      <c r="F50" s="63">
        <v>0.5</v>
      </c>
      <c r="G50" s="79">
        <f t="shared" si="7"/>
        <v>123.28400000000002</v>
      </c>
      <c r="H50" s="79">
        <f t="shared" si="8"/>
        <v>105.672</v>
      </c>
      <c r="I50" s="79">
        <f t="shared" si="9"/>
        <v>84.53760000000001</v>
      </c>
      <c r="J50" s="79">
        <f t="shared" si="10"/>
        <v>70.44800000000001</v>
      </c>
      <c r="M50" s="82" t="s">
        <v>28</v>
      </c>
      <c r="N50" s="82" t="s">
        <v>141</v>
      </c>
      <c r="O50" s="82" t="s">
        <v>136</v>
      </c>
      <c r="P50" s="82" t="s">
        <v>138</v>
      </c>
      <c r="Q50" s="82" t="s">
        <v>137</v>
      </c>
    </row>
    <row r="51" spans="2:17" ht="14.25">
      <c r="B51" s="63" t="s">
        <v>25</v>
      </c>
      <c r="C51" s="63">
        <v>0.875</v>
      </c>
      <c r="D51" s="63">
        <v>0.6</v>
      </c>
      <c r="E51" s="63">
        <v>0.5</v>
      </c>
      <c r="F51" s="63">
        <v>0.3</v>
      </c>
      <c r="G51" s="79">
        <f t="shared" si="7"/>
        <v>123.28400000000002</v>
      </c>
      <c r="H51" s="79">
        <f t="shared" si="8"/>
        <v>84.53760000000001</v>
      </c>
      <c r="I51" s="79">
        <f t="shared" si="9"/>
        <v>70.44800000000001</v>
      </c>
      <c r="J51" s="79">
        <f t="shared" si="10"/>
        <v>42.268800000000006</v>
      </c>
      <c r="K51" s="63">
        <f>STDEV(J51:J52)</f>
        <v>14.94427755630896</v>
      </c>
      <c r="M51" s="63" t="s">
        <v>26</v>
      </c>
      <c r="N51" s="92">
        <f>AVERAGE(G54:G55)</f>
        <v>123.28400000000002</v>
      </c>
      <c r="O51" s="92">
        <f>AVERAGE(H54:H55)</f>
        <v>49.313599999999994</v>
      </c>
      <c r="P51" s="92">
        <f>AVERAGE(I54:I55)</f>
        <v>45.7912</v>
      </c>
      <c r="Q51" s="92">
        <f>AVERAGE(J54:J55)</f>
        <v>42.268800000000006</v>
      </c>
    </row>
    <row r="52" spans="2:17" ht="14.25">
      <c r="B52" s="63" t="s">
        <v>135</v>
      </c>
      <c r="C52" s="63">
        <v>0.875</v>
      </c>
      <c r="D52" s="63">
        <v>0.55</v>
      </c>
      <c r="E52" s="63">
        <v>0.5</v>
      </c>
      <c r="F52" s="63">
        <v>0.45</v>
      </c>
      <c r="G52" s="79">
        <f t="shared" si="7"/>
        <v>123.28400000000002</v>
      </c>
      <c r="H52" s="79">
        <f t="shared" si="8"/>
        <v>77.49280000000002</v>
      </c>
      <c r="I52" s="79">
        <f t="shared" si="9"/>
        <v>70.44800000000001</v>
      </c>
      <c r="J52" s="79">
        <f t="shared" si="10"/>
        <v>63.403200000000005</v>
      </c>
      <c r="M52" s="63" t="s">
        <v>65</v>
      </c>
      <c r="N52" s="92">
        <f>AVERAGE(G56:G57)</f>
        <v>123.28400000000002</v>
      </c>
      <c r="O52" s="92">
        <f>AVERAGE(H56:H57)</f>
        <v>105.672</v>
      </c>
      <c r="P52" s="92">
        <f>AVERAGE(I56:I57)</f>
        <v>88.06</v>
      </c>
      <c r="Q52" s="92">
        <f>AVERAGE(J56:J57)</f>
        <v>66.9256</v>
      </c>
    </row>
    <row r="53" spans="2:17" ht="14.25">
      <c r="B53" s="82" t="s">
        <v>28</v>
      </c>
      <c r="C53" s="82" t="s">
        <v>141</v>
      </c>
      <c r="D53" s="82" t="s">
        <v>136</v>
      </c>
      <c r="E53" s="82" t="s">
        <v>138</v>
      </c>
      <c r="F53" s="82" t="s">
        <v>137</v>
      </c>
      <c r="G53" s="105" t="s">
        <v>141</v>
      </c>
      <c r="H53" s="105" t="s">
        <v>136</v>
      </c>
      <c r="I53" s="105" t="s">
        <v>138</v>
      </c>
      <c r="J53" s="105" t="s">
        <v>137</v>
      </c>
      <c r="M53" s="63" t="s">
        <v>27</v>
      </c>
      <c r="N53" s="92">
        <f>AVERAGE(G58:G59)</f>
        <v>123.28400000000002</v>
      </c>
      <c r="O53" s="92">
        <f>AVERAGE(H58:H59)</f>
        <v>81.01520000000002</v>
      </c>
      <c r="P53" s="92">
        <f>AVERAGE(I58:I59)</f>
        <v>73.97040000000001</v>
      </c>
      <c r="Q53" s="92">
        <f>AVERAGE(J58:J59)</f>
        <v>63.403200000000005</v>
      </c>
    </row>
    <row r="54" spans="2:11" ht="14.25">
      <c r="B54" s="63" t="s">
        <v>22</v>
      </c>
      <c r="C54" s="63">
        <v>0.875</v>
      </c>
      <c r="D54" s="63">
        <v>0.35</v>
      </c>
      <c r="E54" s="63">
        <v>0.35</v>
      </c>
      <c r="F54" s="63">
        <v>0.3</v>
      </c>
      <c r="G54" s="79">
        <f>((C54*$D$41/1000)*$B$40)*1000*100/($F$40*$F$41)</f>
        <v>123.28400000000002</v>
      </c>
      <c r="H54" s="79">
        <f aca="true" t="shared" si="11" ref="H54:H59">((D54*$D$41/1000)*$B$40)*1000*100/($F$40*$F$41)</f>
        <v>49.313599999999994</v>
      </c>
      <c r="I54" s="79">
        <f aca="true" t="shared" si="12" ref="I54:I59">((E54*$D$41/1000)*$B$40)*1000*100/($F$40*$F$41)</f>
        <v>49.313599999999994</v>
      </c>
      <c r="J54" s="79">
        <f aca="true" t="shared" si="13" ref="J54:J59">((F54*$D$41/1000)*$B$40)*1000*100/($F$40*$F$41)</f>
        <v>42.268800000000006</v>
      </c>
      <c r="K54" s="63">
        <f>STDEV(J54:J55)</f>
        <v>0</v>
      </c>
    </row>
    <row r="55" spans="2:10" ht="14.25">
      <c r="B55" s="63" t="s">
        <v>23</v>
      </c>
      <c r="C55" s="63">
        <v>0.875</v>
      </c>
      <c r="D55" s="63">
        <v>0.35</v>
      </c>
      <c r="E55" s="63">
        <v>0.3</v>
      </c>
      <c r="F55" s="63">
        <v>0.3</v>
      </c>
      <c r="G55" s="79">
        <f aca="true" t="shared" si="14" ref="G55:G59">((C55*$D$41/1000)*$B$40)*1000*100/($F$40*$F$41)</f>
        <v>123.28400000000002</v>
      </c>
      <c r="H55" s="79">
        <f t="shared" si="11"/>
        <v>49.313599999999994</v>
      </c>
      <c r="I55" s="79">
        <f t="shared" si="12"/>
        <v>42.268800000000006</v>
      </c>
      <c r="J55" s="79">
        <f t="shared" si="13"/>
        <v>42.268800000000006</v>
      </c>
    </row>
    <row r="56" spans="2:11" ht="14.25">
      <c r="B56" s="63" t="s">
        <v>24</v>
      </c>
      <c r="C56" s="63">
        <v>0.875</v>
      </c>
      <c r="D56" s="63">
        <v>0.75</v>
      </c>
      <c r="E56" s="63">
        <v>0.6</v>
      </c>
      <c r="F56" s="63">
        <v>0.5</v>
      </c>
      <c r="G56" s="79">
        <f t="shared" si="14"/>
        <v>123.28400000000002</v>
      </c>
      <c r="H56" s="79">
        <f t="shared" si="11"/>
        <v>105.672</v>
      </c>
      <c r="I56" s="79">
        <f t="shared" si="12"/>
        <v>84.53760000000001</v>
      </c>
      <c r="J56" s="79">
        <f t="shared" si="13"/>
        <v>70.44800000000001</v>
      </c>
      <c r="K56" s="63">
        <f>STDEV(J56:J57)</f>
        <v>4.9814258521029915</v>
      </c>
    </row>
    <row r="57" spans="2:10" ht="14.25">
      <c r="B57" s="63" t="s">
        <v>134</v>
      </c>
      <c r="C57" s="63">
        <v>0.875</v>
      </c>
      <c r="D57" s="63">
        <v>0.75</v>
      </c>
      <c r="E57" s="63">
        <v>0.65</v>
      </c>
      <c r="F57" s="63">
        <v>0.45</v>
      </c>
      <c r="G57" s="79">
        <f t="shared" si="14"/>
        <v>123.28400000000002</v>
      </c>
      <c r="H57" s="79">
        <f t="shared" si="11"/>
        <v>105.672</v>
      </c>
      <c r="I57" s="79">
        <f t="shared" si="12"/>
        <v>91.5824</v>
      </c>
      <c r="J57" s="79">
        <f t="shared" si="13"/>
        <v>63.403200000000005</v>
      </c>
    </row>
    <row r="58" spans="2:11" ht="14.25">
      <c r="B58" s="63" t="s">
        <v>25</v>
      </c>
      <c r="C58" s="63">
        <v>0.875</v>
      </c>
      <c r="D58" s="63">
        <v>0.55</v>
      </c>
      <c r="E58" s="63">
        <v>0.5</v>
      </c>
      <c r="F58" s="63">
        <v>0.45</v>
      </c>
      <c r="G58" s="79">
        <f t="shared" si="14"/>
        <v>123.28400000000002</v>
      </c>
      <c r="H58" s="79">
        <f t="shared" si="11"/>
        <v>77.49280000000002</v>
      </c>
      <c r="I58" s="79">
        <f t="shared" si="12"/>
        <v>70.44800000000001</v>
      </c>
      <c r="J58" s="79">
        <f t="shared" si="13"/>
        <v>63.403200000000005</v>
      </c>
      <c r="K58" s="63">
        <f>STDEV(J58:J59)</f>
        <v>0</v>
      </c>
    </row>
    <row r="59" spans="2:10" ht="14.25">
      <c r="B59" s="63" t="s">
        <v>135</v>
      </c>
      <c r="C59" s="63">
        <v>0.875</v>
      </c>
      <c r="D59" s="63">
        <v>0.6</v>
      </c>
      <c r="E59" s="63">
        <v>0.55</v>
      </c>
      <c r="F59" s="63">
        <v>0.45</v>
      </c>
      <c r="G59" s="79">
        <f t="shared" si="14"/>
        <v>123.28400000000002</v>
      </c>
      <c r="H59" s="79">
        <f t="shared" si="11"/>
        <v>84.53760000000001</v>
      </c>
      <c r="I59" s="79">
        <f t="shared" si="12"/>
        <v>77.49280000000002</v>
      </c>
      <c r="J59" s="79">
        <f t="shared" si="13"/>
        <v>63.403200000000005</v>
      </c>
    </row>
  </sheetData>
  <mergeCells count="6">
    <mergeCell ref="G45:J45"/>
    <mergeCell ref="N23:Q23"/>
    <mergeCell ref="N45:Q45"/>
    <mergeCell ref="N4:Q4"/>
    <mergeCell ref="C23:F23"/>
    <mergeCell ref="G23:J2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 topLeftCell="A31">
      <selection activeCell="K11" sqref="K11:K16"/>
    </sheetView>
  </sheetViews>
  <sheetFormatPr defaultColWidth="8.875" defaultRowHeight="14.25"/>
  <cols>
    <col min="1" max="1" width="7.875" style="0" customWidth="1"/>
    <col min="3" max="3" width="10.625" style="0" customWidth="1"/>
    <col min="6" max="6" width="10.875" style="0" customWidth="1"/>
    <col min="9" max="9" width="12.375" style="0" customWidth="1"/>
    <col min="10" max="10" width="11.375" style="0" customWidth="1"/>
    <col min="11" max="11" width="13.50390625" style="0" customWidth="1"/>
    <col min="12" max="12" width="10.625" style="0" customWidth="1"/>
    <col min="13" max="13" width="6.625" style="0" customWidth="1"/>
    <col min="14" max="14" width="12.625" style="0" bestFit="1" customWidth="1"/>
    <col min="15" max="15" width="6.125" style="0" customWidth="1"/>
    <col min="16" max="16" width="6.00390625" style="0" customWidth="1"/>
    <col min="17" max="17" width="6.125" style="0" customWidth="1"/>
    <col min="18" max="18" width="10.50390625" style="0" customWidth="1"/>
  </cols>
  <sheetData>
    <row r="1" ht="14.25">
      <c r="A1" s="24" t="s">
        <v>161</v>
      </c>
    </row>
    <row r="2" spans="1:2" ht="14.25">
      <c r="A2" s="24" t="s">
        <v>151</v>
      </c>
      <c r="B2">
        <f>4</f>
        <v>4</v>
      </c>
    </row>
    <row r="3" spans="1:24" ht="38.25" customHeight="1">
      <c r="A3" s="135" t="s">
        <v>32</v>
      </c>
      <c r="B3" s="126" t="s">
        <v>0</v>
      </c>
      <c r="C3" s="127" t="s">
        <v>11</v>
      </c>
      <c r="D3" s="126"/>
      <c r="E3" s="126" t="s">
        <v>35</v>
      </c>
      <c r="F3" s="126" t="s">
        <v>36</v>
      </c>
      <c r="I3" s="68" t="s">
        <v>157</v>
      </c>
      <c r="J3" s="68" t="s">
        <v>158</v>
      </c>
      <c r="K3" s="68" t="s">
        <v>159</v>
      </c>
      <c r="L3" s="68" t="s">
        <v>160</v>
      </c>
      <c r="M3" s="68" t="s">
        <v>34</v>
      </c>
      <c r="N3" s="34" t="s">
        <v>37</v>
      </c>
      <c r="O3" s="67" t="s">
        <v>38</v>
      </c>
      <c r="P3" s="34" t="s">
        <v>39</v>
      </c>
      <c r="Q3" s="34" t="s">
        <v>40</v>
      </c>
      <c r="R3" s="138" t="s">
        <v>41</v>
      </c>
      <c r="S3" s="139"/>
      <c r="T3" s="139"/>
      <c r="U3" s="139"/>
      <c r="V3" s="139"/>
      <c r="W3" s="139"/>
      <c r="X3" s="139"/>
    </row>
    <row r="4" spans="1:24" ht="16.5" customHeight="1">
      <c r="A4" s="136"/>
      <c r="B4" s="137"/>
      <c r="C4" s="114" t="s">
        <v>30</v>
      </c>
      <c r="D4" s="114" t="s">
        <v>31</v>
      </c>
      <c r="E4" s="137"/>
      <c r="F4" s="137"/>
      <c r="I4" s="33" t="s">
        <v>162</v>
      </c>
      <c r="J4" s="74">
        <f>((E5^2)/2)+((E6^2)/2)+((E7^2)/2)+((E8^2)/2)-((E9^2)/(2*4))</f>
        <v>7310.134050956782</v>
      </c>
      <c r="K4" s="69">
        <f>$B$2-1</f>
        <v>3</v>
      </c>
      <c r="L4" s="74">
        <f>J4/K4</f>
        <v>2436.711350318927</v>
      </c>
      <c r="M4" s="74">
        <f>L4/L5</f>
        <v>146.56218905473517</v>
      </c>
      <c r="N4" s="69">
        <v>6.59</v>
      </c>
      <c r="O4" s="69">
        <v>0.05</v>
      </c>
      <c r="P4" s="35">
        <f>K4</f>
        <v>3</v>
      </c>
      <c r="Q4" s="35">
        <f>K5</f>
        <v>4</v>
      </c>
      <c r="R4" s="41" t="s">
        <v>60</v>
      </c>
      <c r="S4" s="42" t="s">
        <v>43</v>
      </c>
      <c r="T4" s="42"/>
      <c r="U4" s="38"/>
      <c r="V4" s="38"/>
      <c r="W4" s="38"/>
      <c r="X4" s="38"/>
    </row>
    <row r="5" spans="1:24" ht="15.75">
      <c r="A5" s="50">
        <v>1</v>
      </c>
      <c r="B5" s="117">
        <v>0</v>
      </c>
      <c r="C5" s="50">
        <f>'Analisis Likopen Vit C'!T8</f>
        <v>47.90464</v>
      </c>
      <c r="D5" s="50">
        <f>'Analisis Likopen Vit C'!T9</f>
        <v>53.54048</v>
      </c>
      <c r="E5" s="75">
        <f>SUM(C5:D5)</f>
        <v>101.44512</v>
      </c>
      <c r="F5" s="75">
        <f>E5/2</f>
        <v>50.72256</v>
      </c>
      <c r="I5" s="133" t="s">
        <v>163</v>
      </c>
      <c r="J5" s="134">
        <f>J7-J4</f>
        <v>66.50313743359584</v>
      </c>
      <c r="K5" s="128">
        <f>K7-K4</f>
        <v>4</v>
      </c>
      <c r="L5" s="134">
        <f>J5/K5</f>
        <v>16.62578435839896</v>
      </c>
      <c r="M5" s="134"/>
      <c r="N5" s="128"/>
      <c r="O5" s="128"/>
      <c r="P5" s="128"/>
      <c r="Q5" s="128"/>
      <c r="R5" s="42" t="s">
        <v>43</v>
      </c>
      <c r="S5" s="42"/>
      <c r="T5" s="42"/>
      <c r="U5" s="38"/>
      <c r="V5" s="38"/>
      <c r="W5" s="38"/>
      <c r="X5" s="38"/>
    </row>
    <row r="6" spans="1:24" ht="15.75">
      <c r="A6" s="71">
        <v>2</v>
      </c>
      <c r="B6" s="115">
        <v>0.04</v>
      </c>
      <c r="C6" s="116">
        <f>'Analisis Likopen Vit C'!T10</f>
        <v>98.62719999999999</v>
      </c>
      <c r="D6" s="75">
        <f>'Analisis Likopen Vit C'!T11</f>
        <v>105.67199999999998</v>
      </c>
      <c r="E6" s="75">
        <f>SUM(C6:D6)</f>
        <v>204.29919999999998</v>
      </c>
      <c r="F6" s="75">
        <f>E6/2</f>
        <v>102.14959999999999</v>
      </c>
      <c r="I6" s="128"/>
      <c r="J6" s="134"/>
      <c r="K6" s="128"/>
      <c r="L6" s="134"/>
      <c r="M6" s="134"/>
      <c r="N6" s="128"/>
      <c r="O6" s="128"/>
      <c r="P6" s="128"/>
      <c r="Q6" s="128"/>
      <c r="R6" s="42" t="s">
        <v>42</v>
      </c>
      <c r="S6" s="42"/>
      <c r="T6" s="42"/>
      <c r="U6" s="38"/>
      <c r="V6" s="38"/>
      <c r="W6" s="38"/>
      <c r="X6" s="38"/>
    </row>
    <row r="7" spans="1:20" ht="15.75">
      <c r="A7" s="69">
        <v>3</v>
      </c>
      <c r="B7" s="1">
        <v>0.05</v>
      </c>
      <c r="C7" s="74">
        <f>'Analisis Likopen Vit C'!T12</f>
        <v>126.80639999999998</v>
      </c>
      <c r="D7" s="74">
        <f>'Analisis Likopen Vit C'!T13</f>
        <v>119.76159999999997</v>
      </c>
      <c r="E7" s="74">
        <f>SUM(C7:D7)</f>
        <v>246.56799999999996</v>
      </c>
      <c r="F7" s="74">
        <f>E7/2</f>
        <v>123.28399999999998</v>
      </c>
      <c r="I7" s="69" t="s">
        <v>35</v>
      </c>
      <c r="J7" s="74">
        <f>((C5^2)+(D5^2)+(C6^2)+(D6^2)+(C7^2)+(D7^2)+(C8^2)+(D8^2))-((E9^2)/(2*4))</f>
        <v>7376.637188390378</v>
      </c>
      <c r="K7" s="69">
        <f>(2*$B$2)-1</f>
        <v>7</v>
      </c>
      <c r="L7" s="74"/>
      <c r="M7" s="74"/>
      <c r="N7" s="69"/>
      <c r="O7" s="69"/>
      <c r="P7" s="35"/>
      <c r="Q7" s="35"/>
      <c r="R7" s="26"/>
      <c r="S7" s="26"/>
      <c r="T7" s="26"/>
    </row>
    <row r="8" spans="1:6" ht="15.75">
      <c r="A8" s="69">
        <v>4</v>
      </c>
      <c r="B8" s="2">
        <v>0.06</v>
      </c>
      <c r="C8" s="29">
        <f>'Analisis Likopen Vit C'!T14</f>
        <v>126.80639999999998</v>
      </c>
      <c r="D8" s="29">
        <f>'Analisis Likopen Vit C'!T15</f>
        <v>125.39744000000002</v>
      </c>
      <c r="E8" s="74">
        <f>SUM(C8:D8)</f>
        <v>252.20384</v>
      </c>
      <c r="F8" s="74">
        <f>E8/2</f>
        <v>126.10192</v>
      </c>
    </row>
    <row r="9" spans="5:9" ht="15.75">
      <c r="E9" s="32">
        <f>SUM(E5:E8)</f>
        <v>804.51616</v>
      </c>
      <c r="I9" s="36" t="s">
        <v>44</v>
      </c>
    </row>
    <row r="10" spans="5:19" ht="15.75">
      <c r="E10" s="32"/>
      <c r="I10" s="67" t="s">
        <v>45</v>
      </c>
      <c r="J10" s="67" t="s">
        <v>46</v>
      </c>
      <c r="K10" s="67" t="s">
        <v>64</v>
      </c>
      <c r="L10" s="67" t="s">
        <v>51</v>
      </c>
      <c r="M10" s="67" t="s">
        <v>52</v>
      </c>
      <c r="N10" s="67" t="s">
        <v>55</v>
      </c>
      <c r="O10" s="40" t="s">
        <v>41</v>
      </c>
      <c r="P10" s="37"/>
      <c r="Q10" s="37"/>
      <c r="R10" s="37"/>
      <c r="S10" s="37"/>
    </row>
    <row r="11" spans="1:19" ht="15.75">
      <c r="A11" s="31"/>
      <c r="B11" s="67" t="s">
        <v>48</v>
      </c>
      <c r="C11" s="1">
        <v>0</v>
      </c>
      <c r="D11" s="1">
        <v>0.04</v>
      </c>
      <c r="E11" s="1">
        <v>0.05</v>
      </c>
      <c r="F11" s="2">
        <v>0.06</v>
      </c>
      <c r="I11" s="69">
        <v>1</v>
      </c>
      <c r="J11" s="69">
        <v>2</v>
      </c>
      <c r="K11" s="74">
        <f>ABS(C13-D13)</f>
        <v>51.42703999999999</v>
      </c>
      <c r="L11" s="74">
        <f aca="true" t="shared" si="0" ref="L11:L16">$C$14*(2*$L$5/(2*4))^0.5</f>
        <v>5.659532233406517</v>
      </c>
      <c r="M11" s="69" t="s">
        <v>53</v>
      </c>
      <c r="N11" s="69" t="s">
        <v>43</v>
      </c>
      <c r="O11" s="37" t="s">
        <v>148</v>
      </c>
      <c r="P11" s="37"/>
      <c r="Q11" s="37"/>
      <c r="R11" s="37"/>
      <c r="S11" s="37"/>
    </row>
    <row r="12" spans="2:19" ht="15.75">
      <c r="B12" s="67" t="s">
        <v>49</v>
      </c>
      <c r="C12" s="69">
        <v>1</v>
      </c>
      <c r="D12" s="69">
        <v>2</v>
      </c>
      <c r="E12" s="69">
        <v>3</v>
      </c>
      <c r="F12" s="69">
        <v>4</v>
      </c>
      <c r="I12" s="69">
        <v>1</v>
      </c>
      <c r="J12" s="69">
        <v>3</v>
      </c>
      <c r="K12" s="74">
        <f>ABS(C13-E13)</f>
        <v>72.56143999999998</v>
      </c>
      <c r="L12" s="74">
        <f t="shared" si="0"/>
        <v>5.659532233406517</v>
      </c>
      <c r="M12" s="69" t="s">
        <v>53</v>
      </c>
      <c r="N12" s="69" t="s">
        <v>43</v>
      </c>
      <c r="O12" s="37" t="s">
        <v>149</v>
      </c>
      <c r="P12" s="37"/>
      <c r="Q12" s="37"/>
      <c r="R12" s="37"/>
      <c r="S12" s="37"/>
    </row>
    <row r="13" spans="2:19" ht="15.75">
      <c r="B13" s="67" t="s">
        <v>50</v>
      </c>
      <c r="C13" s="74">
        <f>F5</f>
        <v>50.72256</v>
      </c>
      <c r="D13" s="74">
        <f>F6</f>
        <v>102.14959999999999</v>
      </c>
      <c r="E13" s="74">
        <f>F7</f>
        <v>123.28399999999998</v>
      </c>
      <c r="F13" s="74">
        <f>F8</f>
        <v>126.10192</v>
      </c>
      <c r="I13" s="69">
        <v>1</v>
      </c>
      <c r="J13" s="69">
        <v>4</v>
      </c>
      <c r="K13" s="74">
        <f>ABS(C13-F13)</f>
        <v>75.37936</v>
      </c>
      <c r="L13" s="74">
        <f t="shared" si="0"/>
        <v>5.659532233406517</v>
      </c>
      <c r="M13" s="69" t="s">
        <v>53</v>
      </c>
      <c r="N13" s="69" t="s">
        <v>43</v>
      </c>
      <c r="O13" s="37" t="s">
        <v>150</v>
      </c>
      <c r="P13" s="37"/>
      <c r="Q13" s="37"/>
      <c r="R13" s="37"/>
      <c r="S13" s="37"/>
    </row>
    <row r="14" spans="2:15" ht="17.25">
      <c r="B14" s="39" t="s">
        <v>155</v>
      </c>
      <c r="C14" s="118">
        <v>2.776</v>
      </c>
      <c r="D14" s="72"/>
      <c r="E14" s="72"/>
      <c r="F14" s="73"/>
      <c r="I14" s="27">
        <v>2</v>
      </c>
      <c r="J14" s="27">
        <v>3</v>
      </c>
      <c r="K14" s="74">
        <f>ABS(D13-E13)</f>
        <v>21.134399999999985</v>
      </c>
      <c r="L14" s="74">
        <f t="shared" si="0"/>
        <v>5.659532233406517</v>
      </c>
      <c r="M14" s="69" t="s">
        <v>53</v>
      </c>
      <c r="N14" s="69" t="s">
        <v>43</v>
      </c>
      <c r="O14" s="37" t="s">
        <v>57</v>
      </c>
    </row>
    <row r="15" spans="9:15" ht="15.75">
      <c r="I15" s="27">
        <v>2</v>
      </c>
      <c r="J15" s="27">
        <v>4</v>
      </c>
      <c r="K15" s="74">
        <f>ABS(D13-F13)</f>
        <v>23.952320000000014</v>
      </c>
      <c r="L15" s="74">
        <f t="shared" si="0"/>
        <v>5.659532233406517</v>
      </c>
      <c r="M15" s="69" t="s">
        <v>53</v>
      </c>
      <c r="N15" s="69" t="s">
        <v>43</v>
      </c>
      <c r="O15" s="37" t="s">
        <v>58</v>
      </c>
    </row>
    <row r="16" spans="9:15" ht="15.75">
      <c r="I16" s="27">
        <v>3</v>
      </c>
      <c r="J16" s="27">
        <v>4</v>
      </c>
      <c r="K16" s="74">
        <f>ABS(E13-F13)</f>
        <v>2.8179200000000293</v>
      </c>
      <c r="L16" s="74">
        <f t="shared" si="0"/>
        <v>5.659532233406517</v>
      </c>
      <c r="M16" s="69" t="s">
        <v>54</v>
      </c>
      <c r="N16" s="69" t="s">
        <v>56</v>
      </c>
      <c r="O16" s="37" t="s">
        <v>59</v>
      </c>
    </row>
    <row r="20" spans="1:24" ht="39.75" customHeight="1">
      <c r="A20" s="135" t="s">
        <v>32</v>
      </c>
      <c r="B20" s="126" t="s">
        <v>0</v>
      </c>
      <c r="C20" s="127" t="s">
        <v>33</v>
      </c>
      <c r="D20" s="126"/>
      <c r="E20" s="126" t="s">
        <v>35</v>
      </c>
      <c r="F20" s="126" t="s">
        <v>36</v>
      </c>
      <c r="I20" s="68" t="s">
        <v>157</v>
      </c>
      <c r="J20" s="68" t="s">
        <v>158</v>
      </c>
      <c r="K20" s="68" t="s">
        <v>159</v>
      </c>
      <c r="L20" s="68" t="s">
        <v>160</v>
      </c>
      <c r="M20" s="68" t="s">
        <v>34</v>
      </c>
      <c r="N20" s="34" t="s">
        <v>37</v>
      </c>
      <c r="O20" s="67" t="s">
        <v>38</v>
      </c>
      <c r="P20" s="34" t="s">
        <v>39</v>
      </c>
      <c r="Q20" s="34" t="s">
        <v>40</v>
      </c>
      <c r="R20" s="138" t="s">
        <v>41</v>
      </c>
      <c r="S20" s="139"/>
      <c r="T20" s="139"/>
      <c r="U20" s="139"/>
      <c r="V20" s="139"/>
      <c r="W20" s="139"/>
      <c r="X20" s="139"/>
    </row>
    <row r="21" spans="1:24" ht="14.25" customHeight="1">
      <c r="A21" s="135"/>
      <c r="B21" s="126"/>
      <c r="C21" s="30" t="s">
        <v>30</v>
      </c>
      <c r="D21" s="30" t="s">
        <v>31</v>
      </c>
      <c r="E21" s="126"/>
      <c r="F21" s="126"/>
      <c r="I21" s="33" t="s">
        <v>162</v>
      </c>
      <c r="J21" s="74">
        <f>((E22^2)/2)+((E23^2)/2)+((E24^2)/2)+((E25^2)/2)-((E26^2)/(2*4))</f>
        <v>977.0005294872972</v>
      </c>
      <c r="K21" s="69">
        <f>$B$2-1</f>
        <v>3</v>
      </c>
      <c r="L21" s="74">
        <f>J21/K21</f>
        <v>325.6668431624324</v>
      </c>
      <c r="M21" s="74">
        <f>L21/L22</f>
        <v>400.6329113924732</v>
      </c>
      <c r="N21" s="69">
        <v>6.59</v>
      </c>
      <c r="O21" s="69">
        <v>0.05</v>
      </c>
      <c r="P21" s="69">
        <f>K21</f>
        <v>3</v>
      </c>
      <c r="Q21" s="69">
        <f>K22</f>
        <v>4</v>
      </c>
      <c r="R21" s="41" t="s">
        <v>60</v>
      </c>
      <c r="S21" s="42" t="s">
        <v>43</v>
      </c>
      <c r="T21" s="42"/>
      <c r="U21" s="38"/>
      <c r="V21" s="38"/>
      <c r="W21" s="38"/>
      <c r="X21" s="38"/>
    </row>
    <row r="22" spans="1:24" ht="15.75" customHeight="1">
      <c r="A22" s="119">
        <v>0</v>
      </c>
      <c r="B22" s="120">
        <v>0</v>
      </c>
      <c r="C22" s="119">
        <f>'Analisis Likopen Vit C'!K24</f>
        <v>16.632503660322108</v>
      </c>
      <c r="D22" s="119">
        <f>'Analisis Likopen Vit C'!K25</f>
        <v>17.920937042459734</v>
      </c>
      <c r="E22" s="75">
        <f>SUM(C22:D22)</f>
        <v>34.55344070278184</v>
      </c>
      <c r="F22" s="75">
        <f>E22/2</f>
        <v>17.27672035139092</v>
      </c>
      <c r="I22" s="133" t="s">
        <v>163</v>
      </c>
      <c r="J22" s="140">
        <f>J24-J21</f>
        <v>3.251523615776023</v>
      </c>
      <c r="K22" s="128">
        <f>K24-K21</f>
        <v>4</v>
      </c>
      <c r="L22" s="140">
        <f>J22/K22</f>
        <v>0.8128809039440057</v>
      </c>
      <c r="M22" s="134"/>
      <c r="N22" s="134"/>
      <c r="O22" s="134"/>
      <c r="P22" s="134"/>
      <c r="Q22" s="134"/>
      <c r="R22" s="42" t="s">
        <v>43</v>
      </c>
      <c r="S22" s="42"/>
      <c r="T22" s="42"/>
      <c r="U22" s="38"/>
      <c r="V22" s="38"/>
      <c r="W22" s="38"/>
      <c r="X22" s="38"/>
    </row>
    <row r="23" spans="1:24" ht="15.75">
      <c r="A23" s="69">
        <v>1</v>
      </c>
      <c r="B23" s="1">
        <v>0.04</v>
      </c>
      <c r="C23" s="74">
        <f>'Analisis Likopen Vit C'!K26</f>
        <v>28.345534407027817</v>
      </c>
      <c r="D23" s="74">
        <f>'Analisis Likopen Vit C'!K27</f>
        <v>27.64275256222547</v>
      </c>
      <c r="E23" s="74">
        <f>SUM(C23:D23)</f>
        <v>55.98828696925329</v>
      </c>
      <c r="F23" s="74">
        <f>E23/2</f>
        <v>27.994143484626644</v>
      </c>
      <c r="I23" s="128"/>
      <c r="J23" s="141"/>
      <c r="K23" s="128"/>
      <c r="L23" s="141"/>
      <c r="M23" s="134"/>
      <c r="N23" s="134"/>
      <c r="O23" s="134"/>
      <c r="P23" s="134"/>
      <c r="Q23" s="134"/>
      <c r="R23" s="42" t="s">
        <v>63</v>
      </c>
      <c r="S23" s="42"/>
      <c r="T23" s="42"/>
      <c r="U23" s="38"/>
      <c r="V23" s="38"/>
      <c r="W23" s="38"/>
      <c r="X23" s="38"/>
    </row>
    <row r="24" spans="1:20" ht="15.75">
      <c r="A24" s="69">
        <v>2</v>
      </c>
      <c r="B24" s="1">
        <v>0.05</v>
      </c>
      <c r="C24" s="74">
        <f>'Analisis Likopen Vit C'!K28</f>
        <v>43.221083455344065</v>
      </c>
      <c r="D24" s="74">
        <f>'Analisis Likopen Vit C'!K29</f>
        <v>41.93265007320644</v>
      </c>
      <c r="E24" s="74">
        <f>SUM(C24:D24)</f>
        <v>85.1537335285505</v>
      </c>
      <c r="F24" s="74">
        <f>E24/2</f>
        <v>42.57686676427525</v>
      </c>
      <c r="I24" s="69" t="s">
        <v>35</v>
      </c>
      <c r="J24" s="74">
        <f>((C22^2)+(D22^2)+((C23^2)+(D23^2)+(C24^2)+(D24^2)+(C25^2)+(D25^2))-((E26^2)/(2*4)))</f>
        <v>980.2520531030732</v>
      </c>
      <c r="K24" s="69">
        <f>(2*$B$2)-1</f>
        <v>7</v>
      </c>
      <c r="L24" s="69"/>
      <c r="M24" s="69"/>
      <c r="N24" s="69"/>
      <c r="O24" s="69"/>
      <c r="P24" s="69"/>
      <c r="Q24" s="69"/>
      <c r="R24" s="26"/>
      <c r="S24" s="26"/>
      <c r="T24" s="26"/>
    </row>
    <row r="25" spans="1:6" ht="15.75">
      <c r="A25" s="69">
        <v>3</v>
      </c>
      <c r="B25" s="2">
        <v>0.06</v>
      </c>
      <c r="C25" s="74">
        <f>'Analisis Likopen Vit C'!K30</f>
        <v>43.33821376281112</v>
      </c>
      <c r="D25" s="74">
        <f>'Analisis Likopen Vit C'!K31</f>
        <v>44.97803806734993</v>
      </c>
      <c r="E25" s="74">
        <f>SUM(C25:D25)</f>
        <v>88.31625183016105</v>
      </c>
      <c r="F25" s="74">
        <f>E25/2</f>
        <v>44.158125915080525</v>
      </c>
    </row>
    <row r="26" ht="15.75">
      <c r="E26" s="32">
        <f>SUM(E22:E25)</f>
        <v>264.0117130307467</v>
      </c>
    </row>
    <row r="27" ht="14.25">
      <c r="I27" s="36" t="s">
        <v>44</v>
      </c>
    </row>
    <row r="28" spans="2:19" ht="15.75">
      <c r="B28" s="67" t="s">
        <v>48</v>
      </c>
      <c r="C28" s="1">
        <v>0</v>
      </c>
      <c r="D28" s="1">
        <v>0.04</v>
      </c>
      <c r="E28" s="1">
        <v>0.05</v>
      </c>
      <c r="F28" s="2">
        <v>0.06</v>
      </c>
      <c r="I28" s="67" t="s">
        <v>45</v>
      </c>
      <c r="J28" s="67" t="s">
        <v>46</v>
      </c>
      <c r="K28" s="67" t="s">
        <v>47</v>
      </c>
      <c r="L28" s="67" t="s">
        <v>51</v>
      </c>
      <c r="M28" s="67" t="s">
        <v>52</v>
      </c>
      <c r="N28" s="67" t="s">
        <v>55</v>
      </c>
      <c r="O28" s="40" t="s">
        <v>41</v>
      </c>
      <c r="P28" s="37"/>
      <c r="Q28" s="37"/>
      <c r="R28" s="37"/>
      <c r="S28" s="37"/>
    </row>
    <row r="29" spans="2:19" ht="15.75">
      <c r="B29" s="67" t="s">
        <v>49</v>
      </c>
      <c r="C29" s="70">
        <v>1</v>
      </c>
      <c r="D29" s="69">
        <v>2</v>
      </c>
      <c r="E29" s="69">
        <v>3</v>
      </c>
      <c r="F29" s="69">
        <v>4</v>
      </c>
      <c r="I29" s="69">
        <v>1</v>
      </c>
      <c r="J29" s="69">
        <v>2</v>
      </c>
      <c r="K29" s="74">
        <f>ABS(C30-D30)</f>
        <v>10.717423133235723</v>
      </c>
      <c r="L29" s="74">
        <f>$C$31*(2*$L$22/(2*4))^0.5</f>
        <v>1.2514195252623719</v>
      </c>
      <c r="M29" s="69" t="s">
        <v>53</v>
      </c>
      <c r="N29" s="69" t="s">
        <v>43</v>
      </c>
      <c r="O29" s="37" t="s">
        <v>148</v>
      </c>
      <c r="P29" s="37"/>
      <c r="Q29" s="37"/>
      <c r="R29" s="37"/>
      <c r="S29" s="37"/>
    </row>
    <row r="30" spans="2:19" ht="15.75">
      <c r="B30" s="67" t="s">
        <v>50</v>
      </c>
      <c r="C30" s="74">
        <f>F22</f>
        <v>17.27672035139092</v>
      </c>
      <c r="D30" s="74">
        <f>F23</f>
        <v>27.994143484626644</v>
      </c>
      <c r="E30" s="74">
        <f>F24</f>
        <v>42.57686676427525</v>
      </c>
      <c r="F30" s="74">
        <f>F25</f>
        <v>44.158125915080525</v>
      </c>
      <c r="I30" s="69">
        <v>1</v>
      </c>
      <c r="J30" s="69">
        <v>3</v>
      </c>
      <c r="K30" s="74">
        <f>ABS(C30-E30)</f>
        <v>25.30014641288433</v>
      </c>
      <c r="L30" s="74">
        <f aca="true" t="shared" si="1" ref="L30:L33">$C$31*(2*$L$22/(2*4))^0.5</f>
        <v>1.2514195252623719</v>
      </c>
      <c r="M30" s="69" t="s">
        <v>53</v>
      </c>
      <c r="N30" s="69" t="s">
        <v>43</v>
      </c>
      <c r="O30" s="37" t="s">
        <v>149</v>
      </c>
      <c r="P30" s="37"/>
      <c r="Q30" s="37"/>
      <c r="R30" s="37"/>
      <c r="S30" s="37"/>
    </row>
    <row r="31" spans="2:19" ht="17.25">
      <c r="B31" s="39" t="s">
        <v>155</v>
      </c>
      <c r="C31" s="118">
        <v>2.776</v>
      </c>
      <c r="D31" s="72"/>
      <c r="E31" s="72"/>
      <c r="F31" s="73"/>
      <c r="I31" s="69">
        <v>1</v>
      </c>
      <c r="J31" s="69">
        <v>4</v>
      </c>
      <c r="K31" s="74">
        <f>ABS(C30-F30)</f>
        <v>26.881405563689604</v>
      </c>
      <c r="L31" s="74">
        <f t="shared" si="1"/>
        <v>1.2514195252623719</v>
      </c>
      <c r="M31" s="69" t="s">
        <v>53</v>
      </c>
      <c r="N31" s="69" t="s">
        <v>43</v>
      </c>
      <c r="O31" s="37" t="s">
        <v>150</v>
      </c>
      <c r="P31" s="37"/>
      <c r="Q31" s="37"/>
      <c r="R31" s="37"/>
      <c r="S31" s="37"/>
    </row>
    <row r="32" spans="9:15" ht="15.75">
      <c r="I32" s="27">
        <v>2</v>
      </c>
      <c r="J32" s="27">
        <v>3</v>
      </c>
      <c r="K32" s="74">
        <f>ABS(D30-E30)</f>
        <v>14.582723279648608</v>
      </c>
      <c r="L32" s="74">
        <f t="shared" si="1"/>
        <v>1.2514195252623719</v>
      </c>
      <c r="M32" s="69" t="s">
        <v>53</v>
      </c>
      <c r="N32" s="69" t="s">
        <v>43</v>
      </c>
      <c r="O32" s="37" t="s">
        <v>57</v>
      </c>
    </row>
    <row r="33" spans="9:15" ht="15.75">
      <c r="I33" s="27">
        <v>2</v>
      </c>
      <c r="J33" s="27">
        <v>4</v>
      </c>
      <c r="K33" s="74">
        <f>ABS(D30-F30)</f>
        <v>16.16398243045388</v>
      </c>
      <c r="L33" s="74">
        <f t="shared" si="1"/>
        <v>1.2514195252623719</v>
      </c>
      <c r="M33" s="69" t="s">
        <v>53</v>
      </c>
      <c r="N33" s="69" t="s">
        <v>43</v>
      </c>
      <c r="O33" s="37" t="s">
        <v>58</v>
      </c>
    </row>
    <row r="34" spans="1:15" ht="15.75">
      <c r="A34" s="24" t="s">
        <v>61</v>
      </c>
      <c r="I34" s="27">
        <v>3</v>
      </c>
      <c r="J34" s="27">
        <v>4</v>
      </c>
      <c r="K34" s="74">
        <f>ABS(E30-F30)</f>
        <v>1.5812591508052734</v>
      </c>
      <c r="L34" s="74">
        <f>$C$31*(2*$L$22/(2*4))^0.5</f>
        <v>1.2514195252623719</v>
      </c>
      <c r="M34" s="69" t="s">
        <v>53</v>
      </c>
      <c r="N34" s="69" t="s">
        <v>43</v>
      </c>
      <c r="O34" s="37" t="s">
        <v>152</v>
      </c>
    </row>
    <row r="38" spans="1:18" ht="31.5">
      <c r="A38" s="135" t="s">
        <v>32</v>
      </c>
      <c r="B38" s="126" t="s">
        <v>0</v>
      </c>
      <c r="C38" s="127" t="s">
        <v>154</v>
      </c>
      <c r="D38" s="126"/>
      <c r="E38" s="126" t="s">
        <v>35</v>
      </c>
      <c r="F38" s="126" t="s">
        <v>36</v>
      </c>
      <c r="I38" s="68" t="s">
        <v>157</v>
      </c>
      <c r="J38" s="68" t="s">
        <v>158</v>
      </c>
      <c r="K38" s="68" t="s">
        <v>159</v>
      </c>
      <c r="L38" s="68" t="s">
        <v>160</v>
      </c>
      <c r="M38" s="68" t="s">
        <v>34</v>
      </c>
      <c r="N38" s="34" t="s">
        <v>37</v>
      </c>
      <c r="O38" s="67" t="s">
        <v>38</v>
      </c>
      <c r="P38" s="34" t="s">
        <v>39</v>
      </c>
      <c r="Q38" s="34" t="s">
        <v>40</v>
      </c>
      <c r="R38" s="76" t="s">
        <v>41</v>
      </c>
    </row>
    <row r="39" spans="1:18" ht="34.5">
      <c r="A39" s="136"/>
      <c r="B39" s="137"/>
      <c r="C39" s="114" t="s">
        <v>30</v>
      </c>
      <c r="D39" s="114" t="s">
        <v>31</v>
      </c>
      <c r="E39" s="137"/>
      <c r="F39" s="137"/>
      <c r="I39" s="33" t="s">
        <v>162</v>
      </c>
      <c r="J39" s="74">
        <f>((E40^2)/2)+((E41^2)/2)+((E42^2)/2)+((E43^2)/2)-((E44^2)/(2*4))</f>
        <v>47.36370000000001</v>
      </c>
      <c r="K39" s="69">
        <f>$B$2-1</f>
        <v>3</v>
      </c>
      <c r="L39" s="74">
        <f>J39/K39</f>
        <v>15.787900000000002</v>
      </c>
      <c r="M39" s="74">
        <f>L39/L40</f>
        <v>519.7662551441044</v>
      </c>
      <c r="N39" s="69">
        <v>6.59</v>
      </c>
      <c r="O39" s="69">
        <v>0.05</v>
      </c>
      <c r="P39" s="35">
        <f>K39</f>
        <v>3</v>
      </c>
      <c r="Q39" s="35">
        <f>K40</f>
        <v>4</v>
      </c>
      <c r="R39" s="41" t="s">
        <v>60</v>
      </c>
    </row>
    <row r="40" spans="1:18" ht="15.75" customHeight="1">
      <c r="A40" s="50">
        <v>1</v>
      </c>
      <c r="B40" s="117">
        <v>0</v>
      </c>
      <c r="C40" s="50">
        <f>'Analisis Likopen Vit C'!F39</f>
        <v>7.3</v>
      </c>
      <c r="D40" s="50">
        <f>'Analisis Likopen Vit C'!F40</f>
        <v>6.82</v>
      </c>
      <c r="E40" s="75">
        <f>SUM(C40:D40)</f>
        <v>14.120000000000001</v>
      </c>
      <c r="F40" s="75">
        <f>E40/2</f>
        <v>7.0600000000000005</v>
      </c>
      <c r="I40" s="133" t="s">
        <v>163</v>
      </c>
      <c r="J40" s="134">
        <f>J42-J39</f>
        <v>0.12149999999998329</v>
      </c>
      <c r="K40" s="128">
        <f>K42-K39</f>
        <v>4</v>
      </c>
      <c r="L40" s="134">
        <f>J40/K40</f>
        <v>0.030374999999995822</v>
      </c>
      <c r="M40" s="134"/>
      <c r="N40" s="128"/>
      <c r="O40" s="128"/>
      <c r="P40" s="128"/>
      <c r="Q40" s="128"/>
      <c r="R40" s="42" t="s">
        <v>43</v>
      </c>
    </row>
    <row r="41" spans="1:18" ht="15.75">
      <c r="A41" s="71">
        <v>2</v>
      </c>
      <c r="B41" s="115">
        <v>0.04</v>
      </c>
      <c r="C41" s="116">
        <f>'Analisis Likopen Vit C'!F41</f>
        <v>1.65</v>
      </c>
      <c r="D41" s="75">
        <f>'Analisis Likopen Vit C'!F42</f>
        <v>1.56</v>
      </c>
      <c r="E41" s="75">
        <f>SUM(C41:D41)</f>
        <v>3.21</v>
      </c>
      <c r="F41" s="75">
        <f>E41/2</f>
        <v>1.605</v>
      </c>
      <c r="I41" s="128"/>
      <c r="J41" s="134"/>
      <c r="K41" s="128"/>
      <c r="L41" s="134"/>
      <c r="M41" s="134"/>
      <c r="N41" s="128"/>
      <c r="O41" s="128"/>
      <c r="P41" s="128"/>
      <c r="Q41" s="128"/>
      <c r="R41" s="42" t="s">
        <v>156</v>
      </c>
    </row>
    <row r="42" spans="1:18" ht="15.75">
      <c r="A42" s="69">
        <v>3</v>
      </c>
      <c r="B42" s="1">
        <v>0.05</v>
      </c>
      <c r="C42" s="74">
        <f>'Analisis Likopen Vit C'!F43</f>
        <v>1.12</v>
      </c>
      <c r="D42" s="74">
        <f>'Analisis Likopen Vit C'!F44</f>
        <v>1.06</v>
      </c>
      <c r="E42" s="74">
        <f>SUM(C42:D42)</f>
        <v>2.18</v>
      </c>
      <c r="F42" s="74">
        <f>E42/2</f>
        <v>1.09</v>
      </c>
      <c r="I42" s="69" t="s">
        <v>35</v>
      </c>
      <c r="J42" s="74">
        <f>((C40^2)+(D40^2)+(C41^2)+(D41^2)+(C42^2)+(D42^2)+(C43^2)+(D43^2))-((E44^2)/(2*4))</f>
        <v>47.48519999999999</v>
      </c>
      <c r="K42" s="69">
        <f>(2*$B$2)-1</f>
        <v>7</v>
      </c>
      <c r="L42" s="74"/>
      <c r="M42" s="74"/>
      <c r="N42" s="69"/>
      <c r="O42" s="69"/>
      <c r="P42" s="35"/>
      <c r="Q42" s="35"/>
      <c r="R42" s="26"/>
    </row>
    <row r="43" spans="1:6" ht="15.75">
      <c r="A43" s="69">
        <v>4</v>
      </c>
      <c r="B43" s="2">
        <v>0.06</v>
      </c>
      <c r="C43" s="29">
        <f>'Analisis Likopen Vit C'!F45</f>
        <v>1.69</v>
      </c>
      <c r="D43" s="29">
        <f>'Analisis Likopen Vit C'!F46</f>
        <v>1.72</v>
      </c>
      <c r="E43" s="74">
        <f>SUM(C43:D43)</f>
        <v>3.41</v>
      </c>
      <c r="F43" s="74">
        <f>E43/2</f>
        <v>1.705</v>
      </c>
    </row>
    <row r="44" spans="5:9" ht="15.75">
      <c r="E44" s="32">
        <f>SUM(E40:E43)</f>
        <v>22.92</v>
      </c>
      <c r="I44" s="36" t="s">
        <v>44</v>
      </c>
    </row>
    <row r="45" spans="5:18" ht="15.75">
      <c r="E45" s="32"/>
      <c r="I45" s="67" t="s">
        <v>45</v>
      </c>
      <c r="J45" s="67" t="s">
        <v>46</v>
      </c>
      <c r="K45" s="67" t="s">
        <v>64</v>
      </c>
      <c r="L45" s="67" t="s">
        <v>51</v>
      </c>
      <c r="M45" s="67" t="s">
        <v>52</v>
      </c>
      <c r="N45" s="67" t="s">
        <v>55</v>
      </c>
      <c r="O45" s="40" t="s">
        <v>41</v>
      </c>
      <c r="P45" s="37"/>
      <c r="Q45" s="37"/>
      <c r="R45" s="37"/>
    </row>
    <row r="46" spans="1:18" ht="15.75">
      <c r="A46" s="31"/>
      <c r="B46" s="67" t="s">
        <v>48</v>
      </c>
      <c r="C46" s="1">
        <v>0</v>
      </c>
      <c r="D46" s="1">
        <v>0.04</v>
      </c>
      <c r="E46" s="1">
        <v>0.05</v>
      </c>
      <c r="F46" s="2">
        <v>0.06</v>
      </c>
      <c r="I46" s="69">
        <v>1</v>
      </c>
      <c r="J46" s="69">
        <v>2</v>
      </c>
      <c r="K46" s="74">
        <f>ABS(C48-D48)</f>
        <v>5.455</v>
      </c>
      <c r="L46" s="74">
        <f>$C$49*(2*$L$40/(2*4))^0.5</f>
        <v>0.24190653980409862</v>
      </c>
      <c r="M46" s="69" t="s">
        <v>53</v>
      </c>
      <c r="N46" s="69" t="s">
        <v>43</v>
      </c>
      <c r="O46" s="37" t="s">
        <v>148</v>
      </c>
      <c r="P46" s="37"/>
      <c r="Q46" s="37"/>
      <c r="R46" s="37"/>
    </row>
    <row r="47" spans="2:18" ht="15.75">
      <c r="B47" s="67" t="s">
        <v>49</v>
      </c>
      <c r="C47" s="69">
        <v>1</v>
      </c>
      <c r="D47" s="69">
        <v>2</v>
      </c>
      <c r="E47" s="69">
        <v>3</v>
      </c>
      <c r="F47" s="69">
        <v>4</v>
      </c>
      <c r="I47" s="69">
        <v>1</v>
      </c>
      <c r="J47" s="69">
        <v>3</v>
      </c>
      <c r="K47" s="74">
        <f>ABS(C48-E48)</f>
        <v>5.970000000000001</v>
      </c>
      <c r="L47" s="74">
        <f aca="true" t="shared" si="2" ref="L47:L51">$C$49*(2*$L$40/(2*4))^0.5</f>
        <v>0.24190653980409862</v>
      </c>
      <c r="M47" s="69" t="s">
        <v>53</v>
      </c>
      <c r="N47" s="69" t="s">
        <v>43</v>
      </c>
      <c r="O47" s="37" t="s">
        <v>149</v>
      </c>
      <c r="P47" s="37"/>
      <c r="Q47" s="37"/>
      <c r="R47" s="37"/>
    </row>
    <row r="48" spans="2:18" ht="15.75">
      <c r="B48" s="67" t="s">
        <v>50</v>
      </c>
      <c r="C48" s="74">
        <f>F40</f>
        <v>7.0600000000000005</v>
      </c>
      <c r="D48" s="74">
        <f>F41</f>
        <v>1.605</v>
      </c>
      <c r="E48" s="74">
        <f>F42</f>
        <v>1.09</v>
      </c>
      <c r="F48" s="74">
        <f>F43</f>
        <v>1.705</v>
      </c>
      <c r="I48" s="69">
        <v>1</v>
      </c>
      <c r="J48" s="69">
        <v>4</v>
      </c>
      <c r="K48" s="74">
        <f>ABS(C48-F48)</f>
        <v>5.355</v>
      </c>
      <c r="L48" s="74">
        <f t="shared" si="2"/>
        <v>0.24190653980409862</v>
      </c>
      <c r="M48" s="69" t="s">
        <v>53</v>
      </c>
      <c r="N48" s="69" t="s">
        <v>43</v>
      </c>
      <c r="O48" s="37" t="s">
        <v>150</v>
      </c>
      <c r="P48" s="37"/>
      <c r="Q48" s="37"/>
      <c r="R48" s="37"/>
    </row>
    <row r="49" spans="2:15" ht="17.25">
      <c r="B49" s="39" t="s">
        <v>155</v>
      </c>
      <c r="C49" s="118">
        <v>2.776</v>
      </c>
      <c r="D49" s="72"/>
      <c r="E49" s="72"/>
      <c r="F49" s="73"/>
      <c r="I49" s="27">
        <v>2</v>
      </c>
      <c r="J49" s="27">
        <v>3</v>
      </c>
      <c r="K49" s="74">
        <f>ABS(D48-E48)</f>
        <v>0.5149999999999999</v>
      </c>
      <c r="L49" s="74">
        <f t="shared" si="2"/>
        <v>0.24190653980409862</v>
      </c>
      <c r="M49" s="69" t="s">
        <v>53</v>
      </c>
      <c r="N49" s="69" t="s">
        <v>43</v>
      </c>
      <c r="O49" s="37" t="s">
        <v>57</v>
      </c>
    </row>
    <row r="50" spans="9:15" ht="15.75">
      <c r="I50" s="27">
        <v>2</v>
      </c>
      <c r="J50" s="27">
        <v>4</v>
      </c>
      <c r="K50" s="74">
        <f>ABS(D48-F48)</f>
        <v>0.10000000000000009</v>
      </c>
      <c r="L50" s="74">
        <f t="shared" si="2"/>
        <v>0.24190653980409862</v>
      </c>
      <c r="M50" s="69" t="s">
        <v>54</v>
      </c>
      <c r="N50" s="69" t="s">
        <v>56</v>
      </c>
      <c r="O50" s="37" t="s">
        <v>153</v>
      </c>
    </row>
    <row r="51" spans="9:15" ht="15.75">
      <c r="I51" s="27">
        <v>3</v>
      </c>
      <c r="J51" s="27">
        <v>4</v>
      </c>
      <c r="K51" s="74">
        <f>ABS(E48-F48)</f>
        <v>0.615</v>
      </c>
      <c r="L51" s="74">
        <f t="shared" si="2"/>
        <v>0.24190653980409862</v>
      </c>
      <c r="M51" s="69" t="s">
        <v>53</v>
      </c>
      <c r="N51" s="69" t="s">
        <v>43</v>
      </c>
      <c r="O51" s="37" t="s">
        <v>152</v>
      </c>
    </row>
  </sheetData>
  <mergeCells count="44">
    <mergeCell ref="R3:X3"/>
    <mergeCell ref="A3:A4"/>
    <mergeCell ref="B3:B4"/>
    <mergeCell ref="C3:D3"/>
    <mergeCell ref="E3:E4"/>
    <mergeCell ref="F3:F4"/>
    <mergeCell ref="O5:O6"/>
    <mergeCell ref="P5:P6"/>
    <mergeCell ref="Q5:Q6"/>
    <mergeCell ref="A20:A21"/>
    <mergeCell ref="B20:B21"/>
    <mergeCell ref="C20:D20"/>
    <mergeCell ref="E20:E21"/>
    <mergeCell ref="F20:F21"/>
    <mergeCell ref="I5:I6"/>
    <mergeCell ref="J5:J6"/>
    <mergeCell ref="K5:K6"/>
    <mergeCell ref="L5:L6"/>
    <mergeCell ref="M5:M6"/>
    <mergeCell ref="N5:N6"/>
    <mergeCell ref="R20:X20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38:A39"/>
    <mergeCell ref="B38:B39"/>
    <mergeCell ref="C38:D38"/>
    <mergeCell ref="E38:E39"/>
    <mergeCell ref="F38:F39"/>
    <mergeCell ref="O40:O41"/>
    <mergeCell ref="P40:P41"/>
    <mergeCell ref="Q40:Q41"/>
    <mergeCell ref="I40:I41"/>
    <mergeCell ref="J40:J41"/>
    <mergeCell ref="K40:K41"/>
    <mergeCell ref="L40:L41"/>
    <mergeCell ref="M40:M41"/>
    <mergeCell ref="N40:N4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7">
      <selection activeCell="B26" sqref="B26"/>
    </sheetView>
  </sheetViews>
  <sheetFormatPr defaultColWidth="9.00390625" defaultRowHeight="14.25"/>
  <cols>
    <col min="1" max="1" width="13.125" style="0" customWidth="1"/>
  </cols>
  <sheetData>
    <row r="1" ht="14.25">
      <c r="A1" t="s">
        <v>167</v>
      </c>
    </row>
    <row r="3" spans="1:5" ht="14.25">
      <c r="A3" t="s">
        <v>168</v>
      </c>
      <c r="B3" t="s">
        <v>82</v>
      </c>
      <c r="C3" t="s">
        <v>166</v>
      </c>
      <c r="D3" t="s">
        <v>83</v>
      </c>
      <c r="E3" t="s">
        <v>35</v>
      </c>
    </row>
    <row r="4" spans="1:5" ht="15" thickBot="1">
      <c r="A4" s="122" t="s">
        <v>21</v>
      </c>
      <c r="B4" s="122"/>
      <c r="C4" s="122"/>
      <c r="D4" s="122"/>
      <c r="E4" s="122"/>
    </row>
    <row r="5" spans="1:5" ht="14.25">
      <c r="A5" s="121" t="s">
        <v>169</v>
      </c>
      <c r="B5" s="121">
        <v>8</v>
      </c>
      <c r="C5" s="121">
        <v>8</v>
      </c>
      <c r="D5" s="121">
        <v>8</v>
      </c>
      <c r="E5" s="121">
        <v>24</v>
      </c>
    </row>
    <row r="6" spans="1:5" ht="14.25">
      <c r="A6" s="121" t="s">
        <v>170</v>
      </c>
      <c r="B6" s="121">
        <v>283.5724743777452</v>
      </c>
      <c r="C6" s="121">
        <v>256.2811127379209</v>
      </c>
      <c r="D6" s="121">
        <v>249.72181551976573</v>
      </c>
      <c r="E6" s="121">
        <v>789.5754026354318</v>
      </c>
    </row>
    <row r="7" spans="1:5" ht="14.25">
      <c r="A7" s="121" t="s">
        <v>171</v>
      </c>
      <c r="B7" s="121">
        <v>35.44655929721815</v>
      </c>
      <c r="C7" s="121">
        <v>32.035139092240115</v>
      </c>
      <c r="D7" s="121">
        <v>31.215226939970716</v>
      </c>
      <c r="E7" s="121">
        <v>32.89897510980966</v>
      </c>
    </row>
    <row r="8" spans="1:5" ht="14.25">
      <c r="A8" s="121" t="s">
        <v>172</v>
      </c>
      <c r="B8" s="121">
        <v>58.67515479617811</v>
      </c>
      <c r="C8" s="121">
        <v>58.85963319300468</v>
      </c>
      <c r="D8" s="121">
        <v>62.705015552349714</v>
      </c>
      <c r="E8" s="121">
        <v>58.35869003668204</v>
      </c>
    </row>
    <row r="9" spans="1:5" ht="14.25">
      <c r="A9" s="121"/>
      <c r="B9" s="121"/>
      <c r="C9" s="121"/>
      <c r="D9" s="121"/>
      <c r="E9" s="121"/>
    </row>
    <row r="10" spans="1:5" ht="15" thickBot="1">
      <c r="A10" s="122" t="s">
        <v>165</v>
      </c>
      <c r="B10" s="122"/>
      <c r="C10" s="122"/>
      <c r="D10" s="122"/>
      <c r="E10" s="122"/>
    </row>
    <row r="11" spans="1:5" ht="14.25">
      <c r="A11" s="121" t="s">
        <v>169</v>
      </c>
      <c r="B11" s="121">
        <v>8</v>
      </c>
      <c r="C11" s="121">
        <v>8</v>
      </c>
      <c r="D11" s="121">
        <v>8</v>
      </c>
      <c r="E11" s="121">
        <v>24</v>
      </c>
    </row>
    <row r="12" spans="1:5" ht="14.25">
      <c r="A12" s="121" t="s">
        <v>170</v>
      </c>
      <c r="B12" s="121">
        <v>244.21669106881404</v>
      </c>
      <c r="C12" s="121">
        <v>214.23133235724742</v>
      </c>
      <c r="D12" s="121">
        <v>193.85065885797948</v>
      </c>
      <c r="E12" s="121">
        <v>652.2986822840408</v>
      </c>
    </row>
    <row r="13" spans="1:5" ht="14.25">
      <c r="A13" s="121" t="s">
        <v>171</v>
      </c>
      <c r="B13" s="121">
        <v>30.527086383601755</v>
      </c>
      <c r="C13" s="121">
        <v>26.778916544655928</v>
      </c>
      <c r="D13" s="121">
        <v>24.231332357247435</v>
      </c>
      <c r="E13" s="121">
        <v>27.17911176183503</v>
      </c>
    </row>
    <row r="14" spans="1:5" ht="14.25">
      <c r="A14" s="121" t="s">
        <v>172</v>
      </c>
      <c r="B14" s="121">
        <v>94.56539015006625</v>
      </c>
      <c r="C14" s="121">
        <v>124.29752592543134</v>
      </c>
      <c r="D14" s="121">
        <v>144.3064497310149</v>
      </c>
      <c r="E14" s="121">
        <v>117.50667435779368</v>
      </c>
    </row>
    <row r="15" spans="1:5" ht="14.25">
      <c r="A15" s="121"/>
      <c r="B15" s="121"/>
      <c r="C15" s="121"/>
      <c r="D15" s="121"/>
      <c r="E15" s="121"/>
    </row>
    <row r="16" spans="1:4" ht="15" thickBot="1">
      <c r="A16" s="122" t="s">
        <v>35</v>
      </c>
      <c r="B16" s="122"/>
      <c r="C16" s="122"/>
      <c r="D16" s="122"/>
    </row>
    <row r="17" spans="1:4" ht="14.25">
      <c r="A17" s="121" t="s">
        <v>169</v>
      </c>
      <c r="B17" s="121">
        <v>16</v>
      </c>
      <c r="C17" s="121">
        <v>16</v>
      </c>
      <c r="D17" s="121">
        <v>16</v>
      </c>
    </row>
    <row r="18" spans="1:4" ht="14.25">
      <c r="A18" s="121" t="s">
        <v>170</v>
      </c>
      <c r="B18" s="121">
        <v>527.7891654465593</v>
      </c>
      <c r="C18" s="121">
        <v>470.51244509516835</v>
      </c>
      <c r="D18" s="121">
        <v>443.5724743777452</v>
      </c>
    </row>
    <row r="19" spans="1:4" ht="14.25">
      <c r="A19" s="121" t="s">
        <v>171</v>
      </c>
      <c r="B19" s="121">
        <v>32.98682284040995</v>
      </c>
      <c r="C19" s="121">
        <v>29.407027818448018</v>
      </c>
      <c r="D19" s="121">
        <v>27.723279648609072</v>
      </c>
    </row>
    <row r="20" spans="1:4" ht="14.25">
      <c r="A20" s="121" t="s">
        <v>172</v>
      </c>
      <c r="B20" s="121">
        <v>77.96591130766198</v>
      </c>
      <c r="C20" s="121">
        <v>92.84077438053234</v>
      </c>
      <c r="D20" s="121">
        <v>109.6119594102615</v>
      </c>
    </row>
    <row r="21" spans="1:4" ht="14.25">
      <c r="A21" s="121"/>
      <c r="B21" s="121"/>
      <c r="C21" s="121"/>
      <c r="D21" s="121"/>
    </row>
    <row r="23" ht="15" thickBot="1">
      <c r="A23" t="s">
        <v>62</v>
      </c>
    </row>
    <row r="24" spans="1:13" ht="14.25">
      <c r="A24" s="124" t="s">
        <v>173</v>
      </c>
      <c r="B24" s="124" t="s">
        <v>174</v>
      </c>
      <c r="C24" s="124" t="s">
        <v>175</v>
      </c>
      <c r="D24" s="124" t="s">
        <v>176</v>
      </c>
      <c r="E24" s="124" t="s">
        <v>177</v>
      </c>
      <c r="F24" s="124" t="s">
        <v>178</v>
      </c>
      <c r="G24" s="124" t="s">
        <v>179</v>
      </c>
      <c r="M24">
        <f>126/50</f>
        <v>2.52</v>
      </c>
    </row>
    <row r="25" spans="1:7" ht="14.25">
      <c r="A25" s="53" t="s">
        <v>180</v>
      </c>
      <c r="B25" s="121">
        <v>392.60204063404035</v>
      </c>
      <c r="C25" s="121">
        <v>1</v>
      </c>
      <c r="D25" s="121">
        <v>392.60204063404035</v>
      </c>
      <c r="E25" s="121">
        <v>4.33487761465341</v>
      </c>
      <c r="F25" s="121">
        <v>0.04346949296111393</v>
      </c>
      <c r="G25" s="121">
        <v>4.072653759250597</v>
      </c>
    </row>
    <row r="26" spans="1:7" ht="14.25">
      <c r="A26" s="53" t="s">
        <v>181</v>
      </c>
      <c r="B26" s="121">
        <v>231.22574523014828</v>
      </c>
      <c r="C26" s="121">
        <v>2</v>
      </c>
      <c r="D26" s="121">
        <v>115.61287261507414</v>
      </c>
      <c r="E26" s="121">
        <v>1.2765283966825303</v>
      </c>
      <c r="F26" s="121">
        <v>0.28960593885987573</v>
      </c>
      <c r="G26" s="121">
        <v>3.219942293176125</v>
      </c>
    </row>
    <row r="27" spans="1:7" ht="14.25">
      <c r="A27" s="53" t="s">
        <v>182</v>
      </c>
      <c r="B27" s="121">
        <v>9.813450406476022</v>
      </c>
      <c r="C27" s="121">
        <v>2</v>
      </c>
      <c r="D27" s="121">
        <v>4.906725203238011</v>
      </c>
      <c r="E27" s="121">
        <v>0.054177133696049234</v>
      </c>
      <c r="F27" s="121">
        <v>0.9473303872627984</v>
      </c>
      <c r="G27" s="121">
        <v>3.219942293176125</v>
      </c>
    </row>
    <row r="28" spans="1:7" ht="14.25">
      <c r="A28" s="53" t="s">
        <v>163</v>
      </c>
      <c r="B28" s="121">
        <v>3803.864185436312</v>
      </c>
      <c r="C28" s="121">
        <v>42</v>
      </c>
      <c r="D28" s="121">
        <v>90.56819489134075</v>
      </c>
      <c r="E28" s="121"/>
      <c r="F28" s="121"/>
      <c r="G28" s="121"/>
    </row>
    <row r="29" spans="1:7" ht="14.25">
      <c r="A29" s="121"/>
      <c r="B29" s="121"/>
      <c r="C29" s="121"/>
      <c r="D29" s="121"/>
      <c r="E29" s="121"/>
      <c r="F29" s="121"/>
      <c r="G29" s="121"/>
    </row>
    <row r="30" spans="1:7" ht="15" thickBot="1">
      <c r="A30" s="123" t="s">
        <v>35</v>
      </c>
      <c r="B30" s="123">
        <v>4437.505421706976</v>
      </c>
      <c r="C30" s="123">
        <v>47</v>
      </c>
      <c r="D30" s="123"/>
      <c r="E30" s="123"/>
      <c r="F30" s="123"/>
      <c r="G30" s="12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0">
      <selection activeCell="E28" sqref="E28"/>
    </sheetView>
  </sheetViews>
  <sheetFormatPr defaultColWidth="9.00390625" defaultRowHeight="14.25"/>
  <cols>
    <col min="1" max="1" width="14.625" style="0" customWidth="1"/>
  </cols>
  <sheetData>
    <row r="1" ht="14.25">
      <c r="A1" t="s">
        <v>167</v>
      </c>
    </row>
    <row r="3" spans="1:5" ht="14.25">
      <c r="A3" t="s">
        <v>168</v>
      </c>
      <c r="B3" t="s">
        <v>82</v>
      </c>
      <c r="C3" t="s">
        <v>166</v>
      </c>
      <c r="D3" t="s">
        <v>83</v>
      </c>
      <c r="E3" t="s">
        <v>35</v>
      </c>
    </row>
    <row r="4" spans="1:5" ht="15" thickBot="1">
      <c r="A4" s="122" t="s">
        <v>21</v>
      </c>
      <c r="B4" s="122"/>
      <c r="C4" s="122"/>
      <c r="D4" s="122"/>
      <c r="E4" s="122"/>
    </row>
    <row r="5" spans="1:5" ht="14.25">
      <c r="A5" s="121" t="s">
        <v>169</v>
      </c>
      <c r="B5" s="121">
        <v>8</v>
      </c>
      <c r="C5" s="121">
        <v>8</v>
      </c>
      <c r="D5" s="121">
        <v>8</v>
      </c>
      <c r="E5" s="121">
        <v>24</v>
      </c>
    </row>
    <row r="6" spans="1:5" ht="14.25">
      <c r="A6" s="121" t="s">
        <v>170</v>
      </c>
      <c r="B6" s="121">
        <v>500.18080000000003</v>
      </c>
      <c r="C6" s="121">
        <v>767.8832</v>
      </c>
      <c r="D6" s="121">
        <v>655.1664000000001</v>
      </c>
      <c r="E6" s="121">
        <v>1923.2304000000008</v>
      </c>
    </row>
    <row r="7" spans="1:5" ht="14.25">
      <c r="A7" s="121" t="s">
        <v>171</v>
      </c>
      <c r="B7" s="121">
        <v>62.522600000000004</v>
      </c>
      <c r="C7" s="121">
        <v>95.9854</v>
      </c>
      <c r="D7" s="121">
        <v>81.89580000000001</v>
      </c>
      <c r="E7" s="121">
        <v>80.13460000000003</v>
      </c>
    </row>
    <row r="8" spans="1:5" ht="14.25">
      <c r="A8" s="121" t="s">
        <v>172</v>
      </c>
      <c r="B8" s="121">
        <v>1420.6360515200006</v>
      </c>
      <c r="C8" s="121">
        <v>406.7822505600031</v>
      </c>
      <c r="D8" s="121">
        <v>803.8159068800014</v>
      </c>
      <c r="E8" s="121">
        <v>997.1694479721672</v>
      </c>
    </row>
    <row r="9" spans="1:5" ht="14.25">
      <c r="A9" s="121"/>
      <c r="B9" s="121"/>
      <c r="C9" s="121"/>
      <c r="D9" s="121"/>
      <c r="E9" s="121"/>
    </row>
    <row r="10" spans="1:5" ht="15" thickBot="1">
      <c r="A10" s="122" t="s">
        <v>165</v>
      </c>
      <c r="B10" s="122"/>
      <c r="C10" s="122"/>
      <c r="D10" s="122"/>
      <c r="E10" s="122"/>
    </row>
    <row r="11" spans="1:5" ht="14.25">
      <c r="A11" s="121" t="s">
        <v>169</v>
      </c>
      <c r="B11" s="121">
        <v>8</v>
      </c>
      <c r="C11" s="121">
        <v>8</v>
      </c>
      <c r="D11" s="121">
        <v>8</v>
      </c>
      <c r="E11" s="121">
        <v>24</v>
      </c>
    </row>
    <row r="12" spans="1:5" ht="14.25">
      <c r="A12" s="121" t="s">
        <v>170</v>
      </c>
      <c r="B12" s="121">
        <v>521.3152000000001</v>
      </c>
      <c r="C12" s="121">
        <v>767.8832</v>
      </c>
      <c r="D12" s="121">
        <v>683.3456000000001</v>
      </c>
      <c r="E12" s="121">
        <v>1972.5440000000003</v>
      </c>
    </row>
    <row r="13" spans="1:5" ht="14.25">
      <c r="A13" s="121" t="s">
        <v>171</v>
      </c>
      <c r="B13" s="121">
        <v>65.16440000000001</v>
      </c>
      <c r="C13" s="121">
        <v>95.9854</v>
      </c>
      <c r="D13" s="121">
        <v>85.41820000000001</v>
      </c>
      <c r="E13" s="121">
        <v>82.18933333333335</v>
      </c>
    </row>
    <row r="14" spans="1:5" ht="14.25">
      <c r="A14" s="121" t="s">
        <v>172</v>
      </c>
      <c r="B14" s="121">
        <v>1297.4492697599987</v>
      </c>
      <c r="C14" s="121">
        <v>506.04066464000374</v>
      </c>
      <c r="D14" s="121">
        <v>598.209192</v>
      </c>
      <c r="E14" s="121">
        <v>901.5972612266639</v>
      </c>
    </row>
    <row r="15" spans="1:5" ht="14.25">
      <c r="A15" s="121"/>
      <c r="B15" s="121"/>
      <c r="C15" s="121"/>
      <c r="D15" s="121"/>
      <c r="E15" s="121"/>
    </row>
    <row r="16" spans="1:4" ht="15" thickBot="1">
      <c r="A16" s="122" t="s">
        <v>35</v>
      </c>
      <c r="B16" s="122"/>
      <c r="C16" s="122"/>
      <c r="D16" s="122"/>
    </row>
    <row r="17" spans="1:4" ht="14.25">
      <c r="A17" s="121" t="s">
        <v>169</v>
      </c>
      <c r="B17" s="121">
        <v>16</v>
      </c>
      <c r="C17" s="121">
        <v>16</v>
      </c>
      <c r="D17" s="121">
        <v>16</v>
      </c>
    </row>
    <row r="18" spans="1:4" ht="14.25">
      <c r="A18" s="121" t="s">
        <v>170</v>
      </c>
      <c r="B18" s="121">
        <v>1021.4960000000001</v>
      </c>
      <c r="C18" s="121">
        <v>1535.7664</v>
      </c>
      <c r="D18" s="121">
        <v>1338.5120000000002</v>
      </c>
    </row>
    <row r="19" spans="1:4" ht="14.25">
      <c r="A19" s="121" t="s">
        <v>171</v>
      </c>
      <c r="B19" s="121">
        <v>63.843500000000006</v>
      </c>
      <c r="C19" s="121">
        <v>95.98540000000001</v>
      </c>
      <c r="D19" s="121">
        <v>83.65700000000001</v>
      </c>
    </row>
    <row r="20" spans="1:4" ht="14.25">
      <c r="A20" s="121" t="s">
        <v>172</v>
      </c>
      <c r="B20" s="121">
        <v>1270.3009118613345</v>
      </c>
      <c r="C20" s="121">
        <v>425.98402709333266</v>
      </c>
      <c r="D20" s="121">
        <v>657.5869932800008</v>
      </c>
    </row>
    <row r="21" spans="1:4" ht="14.25">
      <c r="A21" s="121"/>
      <c r="B21" s="121"/>
      <c r="C21" s="121"/>
      <c r="D21" s="121"/>
    </row>
    <row r="23" ht="15" thickBot="1">
      <c r="A23" t="s">
        <v>62</v>
      </c>
    </row>
    <row r="24" spans="1:7" ht="14.25">
      <c r="A24" s="124" t="s">
        <v>173</v>
      </c>
      <c r="B24" s="124" t="s">
        <v>174</v>
      </c>
      <c r="C24" s="124" t="s">
        <v>175</v>
      </c>
      <c r="D24" s="124" t="s">
        <v>176</v>
      </c>
      <c r="E24" s="124" t="s">
        <v>177</v>
      </c>
      <c r="F24" s="124" t="s">
        <v>178</v>
      </c>
      <c r="G24" s="124" t="s">
        <v>179</v>
      </c>
    </row>
    <row r="25" spans="1:7" ht="14.25">
      <c r="A25" s="53" t="s">
        <v>180</v>
      </c>
      <c r="B25" s="121">
        <v>50.6631488533385</v>
      </c>
      <c r="C25" s="121">
        <v>1</v>
      </c>
      <c r="D25" s="121">
        <v>50.6631488533385</v>
      </c>
      <c r="E25" s="121">
        <v>0.06039795738687001</v>
      </c>
      <c r="F25" s="121">
        <v>0.8070650851648022</v>
      </c>
      <c r="G25" s="121">
        <v>4.072653759250597</v>
      </c>
    </row>
    <row r="26" spans="1:7" ht="14.25">
      <c r="A26" s="53" t="s">
        <v>181</v>
      </c>
      <c r="B26" s="121">
        <v>8414.218476906666</v>
      </c>
      <c r="C26" s="121">
        <v>2</v>
      </c>
      <c r="D26" s="121">
        <v>4207.109238453333</v>
      </c>
      <c r="E26" s="121">
        <v>5.015495685860183</v>
      </c>
      <c r="F26" s="121">
        <v>0.01113604511196856</v>
      </c>
      <c r="G26" s="121">
        <v>3.219942293176125</v>
      </c>
    </row>
    <row r="27" spans="1:7" ht="14.25">
      <c r="A27" s="53" t="s">
        <v>182</v>
      </c>
      <c r="B27" s="121">
        <v>26.88248714666406</v>
      </c>
      <c r="C27" s="121">
        <v>2</v>
      </c>
      <c r="D27" s="121">
        <v>13.44124357333203</v>
      </c>
      <c r="E27" s="121">
        <v>0.016023947878146</v>
      </c>
      <c r="F27" s="121">
        <v>0.9841097658520621</v>
      </c>
      <c r="G27" s="121">
        <v>3.219942293176125</v>
      </c>
    </row>
    <row r="28" spans="1:7" ht="14.25">
      <c r="A28" s="53" t="s">
        <v>163</v>
      </c>
      <c r="B28" s="121">
        <v>35230.53334752002</v>
      </c>
      <c r="C28" s="121">
        <v>42</v>
      </c>
      <c r="D28" s="121">
        <v>838.8222225600005</v>
      </c>
      <c r="E28" s="121"/>
      <c r="F28" s="121"/>
      <c r="G28" s="121"/>
    </row>
    <row r="29" spans="1:7" ht="14.25">
      <c r="A29" s="121"/>
      <c r="B29" s="121"/>
      <c r="C29" s="121"/>
      <c r="D29" s="121"/>
      <c r="E29" s="121"/>
      <c r="F29" s="121"/>
      <c r="G29" s="121"/>
    </row>
    <row r="30" spans="1:7" ht="15" thickBot="1">
      <c r="A30" s="123" t="s">
        <v>35</v>
      </c>
      <c r="B30" s="123">
        <v>43722.297460426686</v>
      </c>
      <c r="C30" s="123">
        <v>47</v>
      </c>
      <c r="D30" s="123"/>
      <c r="E30" s="123"/>
      <c r="F30" s="123"/>
      <c r="G30" s="12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3">
      <selection activeCell="C26" sqref="C26"/>
    </sheetView>
  </sheetViews>
  <sheetFormatPr defaultColWidth="9.00390625" defaultRowHeight="14.25"/>
  <cols>
    <col min="1" max="1" width="15.50390625" style="0" customWidth="1"/>
  </cols>
  <sheetData>
    <row r="1" ht="14.25">
      <c r="A1" t="s">
        <v>167</v>
      </c>
    </row>
    <row r="3" spans="1:5" ht="14.25">
      <c r="A3" t="s">
        <v>168</v>
      </c>
      <c r="B3" t="s">
        <v>82</v>
      </c>
      <c r="C3" t="s">
        <v>166</v>
      </c>
      <c r="D3" t="s">
        <v>83</v>
      </c>
      <c r="E3" t="s">
        <v>35</v>
      </c>
    </row>
    <row r="4" spans="1:5" ht="15" thickBot="1">
      <c r="A4" s="122" t="s">
        <v>21</v>
      </c>
      <c r="B4" s="122"/>
      <c r="C4" s="122"/>
      <c r="D4" s="122"/>
      <c r="E4" s="122"/>
    </row>
    <row r="5" spans="1:5" ht="14.25">
      <c r="A5" s="121" t="s">
        <v>169</v>
      </c>
      <c r="B5" s="121">
        <v>8</v>
      </c>
      <c r="C5" s="121">
        <v>8</v>
      </c>
      <c r="D5" s="121">
        <v>8</v>
      </c>
      <c r="E5" s="121">
        <v>24</v>
      </c>
    </row>
    <row r="6" spans="1:5" ht="14.25">
      <c r="A6" s="121" t="s">
        <v>170</v>
      </c>
      <c r="B6" s="121">
        <v>31.679999999999996</v>
      </c>
      <c r="C6" s="121">
        <v>27.040000000000003</v>
      </c>
      <c r="D6" s="121">
        <v>19.51</v>
      </c>
      <c r="E6" s="121">
        <v>78.23000000000002</v>
      </c>
    </row>
    <row r="7" spans="1:5" ht="14.25">
      <c r="A7" s="121" t="s">
        <v>171</v>
      </c>
      <c r="B7" s="121">
        <v>3.9599999999999995</v>
      </c>
      <c r="C7" s="121">
        <v>3.3800000000000003</v>
      </c>
      <c r="D7" s="121">
        <v>2.43875</v>
      </c>
      <c r="E7" s="121">
        <v>3.259583333333334</v>
      </c>
    </row>
    <row r="8" spans="1:5" ht="14.25">
      <c r="A8" s="121" t="s">
        <v>172</v>
      </c>
      <c r="B8" s="121">
        <v>3.789200000000002</v>
      </c>
      <c r="C8" s="121">
        <v>3.8991999999999996</v>
      </c>
      <c r="D8" s="121">
        <v>3.2016410714285706</v>
      </c>
      <c r="E8" s="121">
        <v>3.7243954710144886</v>
      </c>
    </row>
    <row r="9" spans="1:5" ht="14.25">
      <c r="A9" s="121"/>
      <c r="B9" s="121"/>
      <c r="C9" s="121"/>
      <c r="D9" s="121"/>
      <c r="E9" s="121"/>
    </row>
    <row r="10" spans="1:5" ht="15" thickBot="1">
      <c r="A10" s="122" t="s">
        <v>165</v>
      </c>
      <c r="B10" s="122"/>
      <c r="C10" s="122"/>
      <c r="D10" s="122"/>
      <c r="E10" s="122"/>
    </row>
    <row r="11" spans="1:5" ht="14.25">
      <c r="A11" s="121" t="s">
        <v>169</v>
      </c>
      <c r="B11" s="121">
        <v>8</v>
      </c>
      <c r="C11" s="121">
        <v>8</v>
      </c>
      <c r="D11" s="121">
        <v>8</v>
      </c>
      <c r="E11" s="121">
        <v>24</v>
      </c>
    </row>
    <row r="12" spans="1:5" ht="14.25">
      <c r="A12" s="121" t="s">
        <v>170</v>
      </c>
      <c r="B12" s="121">
        <v>23.940000000000005</v>
      </c>
      <c r="C12" s="121">
        <v>20.69</v>
      </c>
      <c r="D12" s="121">
        <v>12.640000000000002</v>
      </c>
      <c r="E12" s="121">
        <v>57.26999999999999</v>
      </c>
    </row>
    <row r="13" spans="1:5" ht="14.25">
      <c r="A13" s="121" t="s">
        <v>171</v>
      </c>
      <c r="B13" s="121">
        <v>2.9925000000000006</v>
      </c>
      <c r="C13" s="121">
        <v>2.58625</v>
      </c>
      <c r="D13" s="121">
        <v>1.5800000000000003</v>
      </c>
      <c r="E13" s="121">
        <v>2.3862499999999995</v>
      </c>
    </row>
    <row r="14" spans="1:5" ht="14.25">
      <c r="A14" s="121" t="s">
        <v>172</v>
      </c>
      <c r="B14" s="121">
        <v>3.0115357142857113</v>
      </c>
      <c r="C14" s="121">
        <v>2.047769642857143</v>
      </c>
      <c r="D14" s="121">
        <v>0.23345714285714234</v>
      </c>
      <c r="E14" s="121">
        <v>1.9786940217391342</v>
      </c>
    </row>
    <row r="15" spans="1:5" ht="14.25">
      <c r="A15" s="121"/>
      <c r="B15" s="121"/>
      <c r="C15" s="121"/>
      <c r="D15" s="121"/>
      <c r="E15" s="121"/>
    </row>
    <row r="16" spans="1:4" ht="15" thickBot="1">
      <c r="A16" s="122" t="s">
        <v>35</v>
      </c>
      <c r="B16" s="122"/>
      <c r="C16" s="122"/>
      <c r="D16" s="122"/>
    </row>
    <row r="17" spans="1:4" ht="14.25">
      <c r="A17" s="121" t="s">
        <v>169</v>
      </c>
      <c r="B17" s="121">
        <v>16</v>
      </c>
      <c r="C17" s="121">
        <v>16</v>
      </c>
      <c r="D17" s="121">
        <v>16</v>
      </c>
    </row>
    <row r="18" spans="1:4" ht="14.25">
      <c r="A18" s="121" t="s">
        <v>170</v>
      </c>
      <c r="B18" s="121">
        <v>55.620000000000005</v>
      </c>
      <c r="C18" s="121">
        <v>47.730000000000004</v>
      </c>
      <c r="D18" s="121">
        <v>32.150000000000006</v>
      </c>
    </row>
    <row r="19" spans="1:4" ht="14.25">
      <c r="A19" s="121" t="s">
        <v>171</v>
      </c>
      <c r="B19" s="121">
        <v>3.47625</v>
      </c>
      <c r="C19" s="121">
        <v>2.9831250000000002</v>
      </c>
      <c r="D19" s="121">
        <v>2.009375</v>
      </c>
    </row>
    <row r="20" spans="1:4" ht="14.25">
      <c r="A20" s="121" t="s">
        <v>172</v>
      </c>
      <c r="B20" s="121">
        <v>3.423291666666671</v>
      </c>
      <c r="C20" s="121">
        <v>2.943262916666667</v>
      </c>
      <c r="D20" s="121">
        <v>1.799699583333333</v>
      </c>
    </row>
    <row r="21" spans="1:4" ht="14.25">
      <c r="A21" s="121"/>
      <c r="B21" s="121"/>
      <c r="C21" s="121"/>
      <c r="D21" s="121"/>
    </row>
    <row r="23" ht="15" thickBot="1">
      <c r="A23" t="s">
        <v>62</v>
      </c>
    </row>
    <row r="24" spans="1:7" ht="14.25">
      <c r="A24" s="124" t="s">
        <v>173</v>
      </c>
      <c r="B24" s="124" t="s">
        <v>174</v>
      </c>
      <c r="C24" s="124" t="s">
        <v>175</v>
      </c>
      <c r="D24" s="124" t="s">
        <v>176</v>
      </c>
      <c r="E24" s="124" t="s">
        <v>177</v>
      </c>
      <c r="F24" s="124" t="s">
        <v>178</v>
      </c>
      <c r="G24" s="124" t="s">
        <v>179</v>
      </c>
    </row>
    <row r="25" spans="1:7" ht="14.25">
      <c r="A25" s="53" t="s">
        <v>180</v>
      </c>
      <c r="B25" s="121">
        <v>9.152533333333366</v>
      </c>
      <c r="C25" s="121">
        <v>1</v>
      </c>
      <c r="D25" s="121">
        <v>9.152533333333366</v>
      </c>
      <c r="E25" s="121">
        <v>3.3934293126411865</v>
      </c>
      <c r="F25" s="121">
        <v>0.07252436978043338</v>
      </c>
      <c r="G25" s="121">
        <v>4.072653759250597</v>
      </c>
    </row>
    <row r="26" spans="1:7" ht="14.25">
      <c r="A26" s="53" t="s">
        <v>181</v>
      </c>
      <c r="B26" s="121">
        <v>17.82977916666667</v>
      </c>
      <c r="C26" s="121">
        <v>2</v>
      </c>
      <c r="D26" s="121">
        <v>8.914889583333334</v>
      </c>
      <c r="E26" s="121">
        <v>3.3053195797567305</v>
      </c>
      <c r="F26" s="121">
        <v>0.046438388211329375</v>
      </c>
      <c r="G26" s="121">
        <v>3.219942293176125</v>
      </c>
    </row>
    <row r="27" spans="1:7" ht="14.25">
      <c r="A27" s="53" t="s">
        <v>182</v>
      </c>
      <c r="B27" s="121">
        <v>0.06165416666664214</v>
      </c>
      <c r="C27" s="121">
        <v>2</v>
      </c>
      <c r="D27" s="121">
        <v>0.03082708333332107</v>
      </c>
      <c r="E27" s="121">
        <v>0.01142957085177043</v>
      </c>
      <c r="F27" s="121">
        <v>0.9886385724531818</v>
      </c>
      <c r="G27" s="121">
        <v>3.219942293176125</v>
      </c>
    </row>
    <row r="28" spans="1:7" ht="14.25">
      <c r="A28" s="53" t="s">
        <v>163</v>
      </c>
      <c r="B28" s="121">
        <v>113.27962500000001</v>
      </c>
      <c r="C28" s="121">
        <v>42</v>
      </c>
      <c r="D28" s="121">
        <v>2.6971339285714286</v>
      </c>
      <c r="E28" s="121"/>
      <c r="F28" s="121"/>
      <c r="G28" s="121"/>
    </row>
    <row r="29" spans="1:7" ht="14.25">
      <c r="A29" s="121"/>
      <c r="B29" s="121"/>
      <c r="C29" s="121"/>
      <c r="D29" s="121"/>
      <c r="E29" s="121"/>
      <c r="F29" s="121"/>
      <c r="G29" s="121"/>
    </row>
    <row r="30" spans="1:7" ht="15" thickBot="1">
      <c r="A30" s="123" t="s">
        <v>35</v>
      </c>
      <c r="B30" s="123">
        <v>140.3235916666667</v>
      </c>
      <c r="C30" s="123">
        <v>47</v>
      </c>
      <c r="D30" s="123"/>
      <c r="E30" s="123"/>
      <c r="F30" s="123"/>
      <c r="G30" s="123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 topLeftCell="A1">
      <selection activeCell="B4" sqref="B4"/>
    </sheetView>
  </sheetViews>
  <sheetFormatPr defaultColWidth="9.00390625" defaultRowHeight="14.25"/>
  <sheetData>
    <row r="2" ht="14.25">
      <c r="A2" s="24" t="s">
        <v>66</v>
      </c>
    </row>
    <row r="3" spans="1:2" ht="14.25">
      <c r="A3" s="46" t="s">
        <v>67</v>
      </c>
      <c r="B3">
        <v>67.266</v>
      </c>
    </row>
    <row r="4" spans="1:2" ht="14.25">
      <c r="A4" s="46" t="s">
        <v>68</v>
      </c>
      <c r="B4">
        <v>10.678</v>
      </c>
    </row>
    <row r="5" spans="1:2" ht="14.25">
      <c r="A5" s="46" t="s">
        <v>69</v>
      </c>
      <c r="B5">
        <v>41.786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 topLeftCell="A1">
      <selection activeCell="D31" sqref="D31"/>
    </sheetView>
  </sheetViews>
  <sheetFormatPr defaultColWidth="8.875" defaultRowHeight="14.25"/>
  <cols>
    <col min="1" max="1" width="10.75390625" style="0" bestFit="1" customWidth="1"/>
    <col min="2" max="4" width="11.875" style="0" bestFit="1" customWidth="1"/>
  </cols>
  <sheetData>
    <row r="1" spans="1:14" ht="14.25">
      <c r="A1" s="24" t="s">
        <v>164</v>
      </c>
      <c r="B1" s="24" t="s">
        <v>82</v>
      </c>
      <c r="C1" s="24" t="s">
        <v>166</v>
      </c>
      <c r="D1" s="24" t="s">
        <v>83</v>
      </c>
      <c r="F1" s="24" t="s">
        <v>164</v>
      </c>
      <c r="G1" s="24" t="s">
        <v>82</v>
      </c>
      <c r="H1" s="24" t="s">
        <v>166</v>
      </c>
      <c r="I1" s="24" t="s">
        <v>83</v>
      </c>
      <c r="K1" s="24" t="s">
        <v>164</v>
      </c>
      <c r="L1" s="24" t="s">
        <v>82</v>
      </c>
      <c r="M1" s="24" t="s">
        <v>166</v>
      </c>
      <c r="N1" s="24" t="s">
        <v>83</v>
      </c>
    </row>
    <row r="2" spans="1:14" ht="14.25">
      <c r="A2" s="24" t="s">
        <v>21</v>
      </c>
      <c r="B2">
        <v>42.57686676427525</v>
      </c>
      <c r="C2">
        <v>42.57686676427525</v>
      </c>
      <c r="D2">
        <v>42.57686676427525</v>
      </c>
      <c r="F2" s="24" t="s">
        <v>21</v>
      </c>
      <c r="G2">
        <v>123.28400000000002</v>
      </c>
      <c r="H2">
        <v>123.28400000000002</v>
      </c>
      <c r="I2">
        <v>123.28400000000002</v>
      </c>
      <c r="K2" s="24" t="s">
        <v>21</v>
      </c>
      <c r="L2">
        <v>1.12</v>
      </c>
      <c r="M2">
        <v>1.12</v>
      </c>
      <c r="N2">
        <v>1.12</v>
      </c>
    </row>
    <row r="3" spans="1:14" ht="14.25">
      <c r="A3" s="24" t="s">
        <v>21</v>
      </c>
      <c r="B3">
        <v>39.00439238653001</v>
      </c>
      <c r="C3">
        <v>32.91361639824304</v>
      </c>
      <c r="D3">
        <v>31.50805270863836</v>
      </c>
      <c r="F3" s="24" t="s">
        <v>21</v>
      </c>
      <c r="G3">
        <v>42.268800000000006</v>
      </c>
      <c r="H3">
        <v>98.62719999999999</v>
      </c>
      <c r="I3">
        <v>84.53760000000001</v>
      </c>
      <c r="K3" s="24" t="s">
        <v>21</v>
      </c>
      <c r="L3">
        <v>3.58</v>
      </c>
      <c r="M3">
        <v>2.37</v>
      </c>
      <c r="N3">
        <v>1.67</v>
      </c>
    </row>
    <row r="4" spans="1:14" ht="14.25">
      <c r="A4" s="24" t="s">
        <v>21</v>
      </c>
      <c r="B4">
        <v>37.36456808199121</v>
      </c>
      <c r="C4">
        <v>29.98535871156661</v>
      </c>
      <c r="D4">
        <v>30.21961932650073</v>
      </c>
      <c r="F4" s="24" t="s">
        <v>21</v>
      </c>
      <c r="G4">
        <v>42.268800000000006</v>
      </c>
      <c r="H4">
        <v>84.53760000000001</v>
      </c>
      <c r="I4">
        <v>70.44800000000001</v>
      </c>
      <c r="K4" s="24" t="s">
        <v>21</v>
      </c>
      <c r="L4">
        <v>4.77</v>
      </c>
      <c r="M4">
        <v>4.34</v>
      </c>
      <c r="N4">
        <v>1.38</v>
      </c>
    </row>
    <row r="5" spans="1:14" ht="14.25">
      <c r="A5" s="24" t="s">
        <v>21</v>
      </c>
      <c r="B5">
        <v>24.363103953147874</v>
      </c>
      <c r="C5">
        <v>22.95754026354319</v>
      </c>
      <c r="D5">
        <v>22.25475841874085</v>
      </c>
      <c r="F5" s="24" t="s">
        <v>21</v>
      </c>
      <c r="G5">
        <v>35.224000000000004</v>
      </c>
      <c r="H5">
        <v>77.49280000000002</v>
      </c>
      <c r="I5">
        <v>42.268800000000006</v>
      </c>
      <c r="K5" s="24" t="s">
        <v>21</v>
      </c>
      <c r="L5">
        <v>6.53</v>
      </c>
      <c r="M5">
        <v>6.74</v>
      </c>
      <c r="N5">
        <v>5.86</v>
      </c>
    </row>
    <row r="6" spans="1:14" ht="14.25">
      <c r="A6" s="24" t="s">
        <v>21</v>
      </c>
      <c r="B6">
        <v>42.57686676427525</v>
      </c>
      <c r="C6">
        <v>42.57686676427525</v>
      </c>
      <c r="D6">
        <v>42.57686676427525</v>
      </c>
      <c r="F6" s="24" t="s">
        <v>21</v>
      </c>
      <c r="G6">
        <v>123.28400000000002</v>
      </c>
      <c r="H6">
        <v>123.28400000000002</v>
      </c>
      <c r="I6">
        <v>123.28400000000002</v>
      </c>
      <c r="K6" s="24" t="s">
        <v>21</v>
      </c>
      <c r="L6" s="24">
        <v>1.06</v>
      </c>
      <c r="M6">
        <v>1.06</v>
      </c>
      <c r="N6">
        <v>1.06</v>
      </c>
    </row>
    <row r="7" spans="1:14" ht="14.25">
      <c r="A7" s="24" t="s">
        <v>21</v>
      </c>
      <c r="B7">
        <v>40.058565153733525</v>
      </c>
      <c r="C7">
        <v>30.68814055636896</v>
      </c>
      <c r="D7">
        <v>29.868228404099558</v>
      </c>
      <c r="F7" s="24" t="s">
        <v>21</v>
      </c>
      <c r="G7">
        <v>49.313599999999994</v>
      </c>
      <c r="H7">
        <v>105.672</v>
      </c>
      <c r="I7">
        <v>77.49280000000002</v>
      </c>
      <c r="K7" s="24" t="s">
        <v>21</v>
      </c>
      <c r="L7">
        <v>4.6</v>
      </c>
      <c r="M7">
        <v>2.39</v>
      </c>
      <c r="N7">
        <v>1.81</v>
      </c>
    </row>
    <row r="8" spans="1:14" ht="14.25">
      <c r="A8" s="24" t="s">
        <v>21</v>
      </c>
      <c r="B8">
        <v>34.319180087847734</v>
      </c>
      <c r="C8">
        <v>32.56222547584188</v>
      </c>
      <c r="D8">
        <v>29.165446559297216</v>
      </c>
      <c r="F8" s="24" t="s">
        <v>21</v>
      </c>
      <c r="G8">
        <v>42.268800000000006</v>
      </c>
      <c r="H8">
        <v>84.53760000000001</v>
      </c>
      <c r="I8">
        <v>70.44800000000001</v>
      </c>
      <c r="K8" s="24" t="s">
        <v>21</v>
      </c>
      <c r="L8">
        <v>4.89</v>
      </c>
      <c r="M8">
        <v>4.65</v>
      </c>
      <c r="N8">
        <v>1.99</v>
      </c>
    </row>
    <row r="9" spans="1:14" ht="14.25">
      <c r="A9" s="24" t="s">
        <v>21</v>
      </c>
      <c r="B9">
        <v>23.308931185944363</v>
      </c>
      <c r="C9">
        <v>22.020497803806737</v>
      </c>
      <c r="D9">
        <v>21.551976573938504</v>
      </c>
      <c r="F9" s="24" t="s">
        <v>21</v>
      </c>
      <c r="G9">
        <v>42.268800000000006</v>
      </c>
      <c r="H9">
        <v>70.44800000000001</v>
      </c>
      <c r="I9">
        <v>63.403200000000005</v>
      </c>
      <c r="K9" s="24" t="s">
        <v>21</v>
      </c>
      <c r="L9">
        <v>5.13</v>
      </c>
      <c r="M9">
        <v>4.37</v>
      </c>
      <c r="N9">
        <v>4.62</v>
      </c>
    </row>
    <row r="10" spans="1:14" ht="14.25">
      <c r="A10" s="24" t="s">
        <v>165</v>
      </c>
      <c r="B10">
        <v>42.57686676427525</v>
      </c>
      <c r="C10">
        <v>42.57686676427525</v>
      </c>
      <c r="D10">
        <v>42.57686676427525</v>
      </c>
      <c r="F10" s="24" t="s">
        <v>165</v>
      </c>
      <c r="G10">
        <v>123.28400000000002</v>
      </c>
      <c r="H10">
        <v>123.28400000000002</v>
      </c>
      <c r="I10">
        <v>123.28400000000002</v>
      </c>
      <c r="K10" s="24" t="s">
        <v>165</v>
      </c>
      <c r="L10">
        <v>1.12</v>
      </c>
      <c r="M10">
        <v>1.12</v>
      </c>
      <c r="N10">
        <v>1.12</v>
      </c>
    </row>
    <row r="11" spans="1:14" ht="14.25">
      <c r="A11" s="24" t="s">
        <v>165</v>
      </c>
      <c r="B11">
        <v>32.2108345534407</v>
      </c>
      <c r="C11">
        <v>29.28257686676427</v>
      </c>
      <c r="D11">
        <v>21.786237188872615</v>
      </c>
      <c r="F11" s="24" t="s">
        <v>165</v>
      </c>
      <c r="G11">
        <v>49.313599999999994</v>
      </c>
      <c r="H11">
        <v>105.672</v>
      </c>
      <c r="I11">
        <v>77.49280000000002</v>
      </c>
      <c r="K11" s="24" t="s">
        <v>165</v>
      </c>
      <c r="L11">
        <v>1.82</v>
      </c>
      <c r="M11">
        <v>1.57</v>
      </c>
      <c r="N11">
        <v>1.24</v>
      </c>
    </row>
    <row r="12" spans="1:14" ht="14.25">
      <c r="A12" s="24" t="s">
        <v>165</v>
      </c>
      <c r="B12">
        <v>31.15666178623719</v>
      </c>
      <c r="C12">
        <v>21.786237188872615</v>
      </c>
      <c r="D12">
        <v>18.506588579795018</v>
      </c>
      <c r="F12" s="24" t="s">
        <v>165</v>
      </c>
      <c r="G12">
        <v>49.313599999999994</v>
      </c>
      <c r="H12">
        <v>84.53760000000001</v>
      </c>
      <c r="I12">
        <v>70.44800000000001</v>
      </c>
      <c r="K12" s="24" t="s">
        <v>165</v>
      </c>
      <c r="L12">
        <v>3.73</v>
      </c>
      <c r="M12">
        <v>4.12</v>
      </c>
      <c r="N12">
        <v>2.18</v>
      </c>
    </row>
    <row r="13" spans="1:14" ht="14.25">
      <c r="A13" s="24" t="s">
        <v>165</v>
      </c>
      <c r="B13">
        <v>17.218155197657396</v>
      </c>
      <c r="C13">
        <v>14.87554904831625</v>
      </c>
      <c r="D13">
        <v>12.06442166910688</v>
      </c>
      <c r="F13" s="24" t="s">
        <v>165</v>
      </c>
      <c r="G13">
        <v>42.268800000000006</v>
      </c>
      <c r="H13">
        <v>70.44800000000001</v>
      </c>
      <c r="I13">
        <v>63.403200000000005</v>
      </c>
      <c r="K13" s="24" t="s">
        <v>165</v>
      </c>
      <c r="L13">
        <v>4.99</v>
      </c>
      <c r="M13">
        <v>4.02</v>
      </c>
      <c r="N13">
        <v>1.95</v>
      </c>
    </row>
    <row r="14" spans="1:14" ht="14.25">
      <c r="A14" s="24" t="s">
        <v>165</v>
      </c>
      <c r="B14">
        <v>42.57686676427525</v>
      </c>
      <c r="C14">
        <v>42.57686676427525</v>
      </c>
      <c r="D14">
        <v>42.57686676427525</v>
      </c>
      <c r="F14" s="24" t="s">
        <v>165</v>
      </c>
      <c r="G14">
        <v>123.28400000000002</v>
      </c>
      <c r="H14">
        <v>123.28400000000002</v>
      </c>
      <c r="I14">
        <v>123.28400000000002</v>
      </c>
      <c r="K14" s="24" t="s">
        <v>165</v>
      </c>
      <c r="L14">
        <v>1.06</v>
      </c>
      <c r="M14">
        <v>1.06</v>
      </c>
      <c r="N14">
        <v>1.06</v>
      </c>
    </row>
    <row r="15" spans="1:14" ht="14.25">
      <c r="A15" s="24" t="s">
        <v>165</v>
      </c>
      <c r="B15">
        <v>31.62518301610541</v>
      </c>
      <c r="C15">
        <v>26.93997071742313</v>
      </c>
      <c r="D15">
        <v>22.371888726207906</v>
      </c>
      <c r="F15" s="24" t="s">
        <v>165</v>
      </c>
      <c r="G15">
        <v>49.313599999999994</v>
      </c>
      <c r="H15">
        <v>105.672</v>
      </c>
      <c r="I15">
        <v>84.53760000000001</v>
      </c>
      <c r="K15" s="24" t="s">
        <v>165</v>
      </c>
      <c r="L15">
        <v>1.79</v>
      </c>
      <c r="M15">
        <v>1.3</v>
      </c>
      <c r="N15">
        <v>1.12</v>
      </c>
    </row>
    <row r="16" spans="1:14" ht="14.25">
      <c r="A16" s="24" t="s">
        <v>165</v>
      </c>
      <c r="B16">
        <v>30.102489019033676</v>
      </c>
      <c r="C16">
        <v>22.95754026354319</v>
      </c>
      <c r="D16">
        <v>21.551976573938504</v>
      </c>
      <c r="F16" s="24" t="s">
        <v>165</v>
      </c>
      <c r="G16">
        <v>42.268800000000006</v>
      </c>
      <c r="H16">
        <v>91.5824</v>
      </c>
      <c r="I16">
        <v>77.49280000000002</v>
      </c>
      <c r="K16" s="24" t="s">
        <v>165</v>
      </c>
      <c r="L16">
        <v>4.19</v>
      </c>
      <c r="M16">
        <v>3.59</v>
      </c>
      <c r="N16">
        <v>1.99</v>
      </c>
    </row>
    <row r="17" spans="1:14" ht="14.25">
      <c r="A17" s="24" t="s">
        <v>165</v>
      </c>
      <c r="B17">
        <v>16.749633967789165</v>
      </c>
      <c r="C17">
        <v>13.235724743777453</v>
      </c>
      <c r="D17">
        <v>12.41581259150805</v>
      </c>
      <c r="F17" s="24" t="s">
        <v>165</v>
      </c>
      <c r="G17">
        <v>42.268800000000006</v>
      </c>
      <c r="H17">
        <v>63.403200000000005</v>
      </c>
      <c r="I17">
        <v>63.403200000000005</v>
      </c>
      <c r="K17" s="24" t="s">
        <v>165</v>
      </c>
      <c r="L17">
        <v>5.24</v>
      </c>
      <c r="M17">
        <v>3.91</v>
      </c>
      <c r="N17">
        <v>1.98</v>
      </c>
    </row>
    <row r="19" spans="1:11" ht="14.25">
      <c r="A19" s="24" t="s">
        <v>183</v>
      </c>
      <c r="F19" s="24" t="s">
        <v>184</v>
      </c>
      <c r="K19" s="24" t="s">
        <v>185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2019-09-27T09:09:40Z</cp:lastPrinted>
  <dcterms:created xsi:type="dcterms:W3CDTF">2019-09-22T19:19:44Z</dcterms:created>
  <dcterms:modified xsi:type="dcterms:W3CDTF">2020-08-31T04:54:49Z</dcterms:modified>
  <cp:category/>
  <cp:version/>
  <cp:contentType/>
  <cp:contentStatus/>
</cp:coreProperties>
</file>