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328"/>
  <workbookPr defaultThemeVersion="124226"/>
  <bookViews>
    <workbookView xWindow="65416" yWindow="65416" windowWidth="20730" windowHeight="11160" activeTab="2"/>
  </bookViews>
  <sheets>
    <sheet name="Jejak Karbon Rumah Tipe 36" sheetId="5" r:id="rId1"/>
    <sheet name="Total Energy" sheetId="1" r:id="rId2"/>
    <sheet name="Material" sheetId="6" r:id="rId3"/>
    <sheet name="Sheet2" sheetId="2" r:id="rId4"/>
    <sheet name="Sheet3" sheetId="3" r:id="rId5"/>
  </sheets>
  <definedNames/>
  <calcPr calcId="191029"/>
</workbook>
</file>

<file path=xl/sharedStrings.xml><?xml version="1.0" encoding="utf-8"?>
<sst xmlns="http://schemas.openxmlformats.org/spreadsheetml/2006/main" count="575" uniqueCount="207">
  <si>
    <t>MATERIAL</t>
  </si>
  <si>
    <t>VOLUME</t>
  </si>
  <si>
    <t xml:space="preserve">EMBODEID </t>
  </si>
  <si>
    <t xml:space="preserve">TOTAL EMBODIED </t>
  </si>
  <si>
    <t>Clay brick</t>
  </si>
  <si>
    <t>Wall Plastered</t>
  </si>
  <si>
    <t>Frame Window/ door</t>
  </si>
  <si>
    <t xml:space="preserve">Ceramic Tile </t>
  </si>
  <si>
    <t>Ceiling frame</t>
  </si>
  <si>
    <t>Window Glass</t>
  </si>
  <si>
    <t xml:space="preserve">Ceiling </t>
  </si>
  <si>
    <t>ROOF</t>
  </si>
  <si>
    <t>WALL</t>
  </si>
  <si>
    <t>FLOOR</t>
  </si>
  <si>
    <t>FONDATION</t>
  </si>
  <si>
    <t>WINDOW/DOOR</t>
  </si>
  <si>
    <t>Zinc roof</t>
  </si>
  <si>
    <t>Timber Frame Roof</t>
  </si>
  <si>
    <t>Timber door</t>
  </si>
  <si>
    <t>Colum</t>
  </si>
  <si>
    <t xml:space="preserve">Beam </t>
  </si>
  <si>
    <t>COLUM &amp; BEAM</t>
  </si>
  <si>
    <t xml:space="preserve">Stone Fondation </t>
  </si>
  <si>
    <t>WEIGHT (KG)</t>
  </si>
  <si>
    <t>-</t>
  </si>
  <si>
    <t>Paint</t>
  </si>
  <si>
    <t>CONSTRUCTION</t>
  </si>
  <si>
    <t>ENERGY  (MJ/KG)</t>
  </si>
  <si>
    <t>ENERGY  (MJ)</t>
  </si>
  <si>
    <t xml:space="preserve">TOTAL EMBODIED ENERGY AND CARBON </t>
  </si>
  <si>
    <t>PER-M2 BUILDING</t>
  </si>
  <si>
    <t>NO</t>
  </si>
  <si>
    <t>TIPE OF WORK</t>
  </si>
  <si>
    <t>UNIT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</si>
  <si>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</si>
  <si>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KG</t>
  </si>
  <si>
    <t>Stone</t>
  </si>
  <si>
    <t>Cement</t>
  </si>
  <si>
    <t xml:space="preserve">Sand </t>
  </si>
  <si>
    <t>Ltr</t>
  </si>
  <si>
    <t xml:space="preserve">Clay brick </t>
  </si>
  <si>
    <t xml:space="preserve">Cement </t>
  </si>
  <si>
    <t xml:space="preserve">Paint </t>
  </si>
  <si>
    <t xml:space="preserve">Timber Frame </t>
  </si>
  <si>
    <t xml:space="preserve">Zink sheet </t>
  </si>
  <si>
    <t xml:space="preserve">Plywood </t>
  </si>
  <si>
    <t>Timber Door</t>
  </si>
  <si>
    <t>Glass</t>
  </si>
  <si>
    <t>Ceramic Tile</t>
  </si>
  <si>
    <t>Sand</t>
  </si>
  <si>
    <t>Gravel</t>
  </si>
  <si>
    <t>Steel Bar</t>
  </si>
  <si>
    <t xml:space="preserve">Timber Framework </t>
  </si>
  <si>
    <r>
      <t>DENSITY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/KG)</t>
    </r>
  </si>
  <si>
    <r>
      <t>CARBON (KGCO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/KG)</t>
    </r>
  </si>
  <si>
    <r>
      <t>CARBON (KGCO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</si>
  <si>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1,558.69</t>
  </si>
  <si>
    <t>4.97</t>
  </si>
  <si>
    <t>788.48</t>
  </si>
  <si>
    <t>1.17</t>
  </si>
  <si>
    <t>1.71</t>
  </si>
  <si>
    <t>133.97</t>
  </si>
  <si>
    <t>0.84</t>
  </si>
  <si>
    <t>696.96</t>
  </si>
  <si>
    <t>1.03</t>
  </si>
  <si>
    <t>1.51</t>
  </si>
  <si>
    <t>0.495</t>
  </si>
  <si>
    <t>374.4</t>
  </si>
  <si>
    <t>1.44</t>
  </si>
  <si>
    <t>0.36</t>
  </si>
  <si>
    <t>10.52</t>
  </si>
  <si>
    <t>2.98</t>
  </si>
  <si>
    <t>20.69</t>
  </si>
  <si>
    <t>1.38</t>
  </si>
  <si>
    <t>0.054</t>
  </si>
  <si>
    <t>0.16</t>
  </si>
  <si>
    <t>0.14</t>
  </si>
  <si>
    <t>0.25</t>
  </si>
  <si>
    <t>0.27</t>
  </si>
  <si>
    <t>0.022</t>
  </si>
  <si>
    <t>774.7</t>
  </si>
  <si>
    <t>157.9</t>
  </si>
  <si>
    <t>1.5</t>
  </si>
  <si>
    <t>1,637.31</t>
  </si>
  <si>
    <t>3,079.24</t>
  </si>
  <si>
    <t>592.2</t>
  </si>
  <si>
    <t>1,447.26</t>
  </si>
  <si>
    <t>2,721.83</t>
  </si>
  <si>
    <t>348.98</t>
  </si>
  <si>
    <t>4,171.44</t>
  </si>
  <si>
    <t>31.04</t>
  </si>
  <si>
    <t>385.29</t>
  </si>
  <si>
    <t>115.62</t>
  </si>
  <si>
    <t>101.52</t>
  </si>
  <si>
    <t>175.55</t>
  </si>
  <si>
    <t>972.2</t>
  </si>
  <si>
    <t>55.45</t>
  </si>
  <si>
    <t>4.6</t>
  </si>
  <si>
    <t>0.1</t>
  </si>
  <si>
    <t>0.3</t>
  </si>
  <si>
    <t>24.6</t>
  </si>
  <si>
    <t>0.056</t>
  </si>
  <si>
    <t>0.83</t>
  </si>
  <si>
    <t>0.005</t>
  </si>
  <si>
    <t>0.017</t>
  </si>
  <si>
    <t>0.59</t>
  </si>
  <si>
    <t>20.4</t>
  </si>
  <si>
    <t>0.22</t>
  </si>
  <si>
    <t>1.06</t>
  </si>
  <si>
    <t>7.4</t>
  </si>
  <si>
    <t>61.9</t>
  </si>
  <si>
    <t>0.45</t>
  </si>
  <si>
    <t>3.31</t>
  </si>
  <si>
    <t>0.81</t>
  </si>
  <si>
    <t>0.85</t>
  </si>
  <si>
    <t>7,169.97</t>
  </si>
  <si>
    <t>695.8</t>
  </si>
  <si>
    <t>854.22</t>
  </si>
  <si>
    <t>1,293.71</t>
  </si>
  <si>
    <t>34.79</t>
  </si>
  <si>
    <t>3,627.01</t>
  </si>
  <si>
    <t>163.73</t>
  </si>
  <si>
    <t>923.77</t>
  </si>
  <si>
    <t>3,295.66</t>
  </si>
  <si>
    <t>654.44</t>
  </si>
  <si>
    <t>8.19</t>
  </si>
  <si>
    <t>52.35</t>
  </si>
  <si>
    <t>229.09</t>
  </si>
  <si>
    <t>578.48</t>
  </si>
  <si>
    <t>7.24</t>
  </si>
  <si>
    <t>46.27</t>
  </si>
  <si>
    <t>270.01</t>
  </si>
  <si>
    <t>310.75</t>
  </si>
  <si>
    <t>10.08</t>
  </si>
  <si>
    <t>20.86</t>
  </si>
  <si>
    <t>32.9</t>
  </si>
  <si>
    <t>437.49</t>
  </si>
  <si>
    <t>1,275.31</t>
  </si>
  <si>
    <t>52.03</t>
  </si>
  <si>
    <t>82.23</t>
  </si>
  <si>
    <t>85.66</t>
  </si>
  <si>
    <t>47.13</t>
  </si>
  <si>
    <t>831.73</t>
  </si>
  <si>
    <t xml:space="preserve">Mortar </t>
  </si>
  <si>
    <t>3,563.62</t>
  </si>
  <si>
    <t>417.14</t>
  </si>
  <si>
    <t>633.17</t>
  </si>
  <si>
    <t>7,194.24</t>
  </si>
  <si>
    <t>23,849.45</t>
  </si>
  <si>
    <t>855.59</t>
  </si>
  <si>
    <t>1,522.8</t>
  </si>
  <si>
    <t>1,299.03</t>
  </si>
  <si>
    <t>1,408.59</t>
  </si>
  <si>
    <t>3,206.02</t>
  </si>
  <si>
    <t>144.73</t>
  </si>
  <si>
    <t>816.55</t>
  </si>
  <si>
    <t>3,884.34</t>
  </si>
  <si>
    <t>1,722.24</t>
  </si>
  <si>
    <t>2,582.42</t>
  </si>
  <si>
    <t>157.04</t>
  </si>
  <si>
    <t>4,382.28</t>
  </si>
  <si>
    <t>266.49</t>
  </si>
  <si>
    <t>total</t>
  </si>
  <si>
    <t>EE</t>
  </si>
  <si>
    <t>EC</t>
  </si>
  <si>
    <t>Material</t>
  </si>
  <si>
    <t>Zink Roof</t>
  </si>
  <si>
    <t xml:space="preserve">Zink Roof </t>
  </si>
  <si>
    <t>9,989.73</t>
  </si>
  <si>
    <t>29,969.19</t>
  </si>
  <si>
    <t>2,197.74</t>
  </si>
  <si>
    <t>127,714.66</t>
  </si>
  <si>
    <t>3,547.63</t>
  </si>
  <si>
    <t>10,257.48</t>
  </si>
  <si>
    <t>284.93</t>
  </si>
  <si>
    <t xml:space="preserve">Construction </t>
  </si>
  <si>
    <t>TOTAL</t>
  </si>
  <si>
    <t>Frame Window/Door</t>
  </si>
  <si>
    <t>Zinc Roof</t>
  </si>
  <si>
    <t>Ceiling Frame</t>
  </si>
  <si>
    <t>Mortar</t>
  </si>
  <si>
    <t xml:space="preserve">EMBODIED </t>
  </si>
  <si>
    <r>
      <t>DENSITY (M</t>
    </r>
    <r>
      <rPr>
        <b/>
        <vertAlign val="superscript"/>
        <sz val="10"/>
        <color theme="1"/>
        <rFont val="Arial Narrow"/>
        <family val="2"/>
      </rPr>
      <t>3</t>
    </r>
    <r>
      <rPr>
        <b/>
        <sz val="10"/>
        <color theme="1"/>
        <rFont val="Arial Narrow"/>
        <family val="2"/>
      </rPr>
      <t>/KG)</t>
    </r>
  </si>
  <si>
    <r>
      <t>CARBON (KGCO</t>
    </r>
    <r>
      <rPr>
        <b/>
        <vertAlign val="sub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>/KG)</t>
    </r>
  </si>
  <si>
    <r>
      <t>CARBON (KGCO</t>
    </r>
    <r>
      <rPr>
        <b/>
        <vertAlign val="sub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>)</t>
    </r>
  </si>
  <si>
    <r>
      <t>M</t>
    </r>
    <r>
      <rPr>
        <vertAlign val="superscript"/>
        <sz val="10"/>
        <color theme="1"/>
        <rFont val="Arial Narrow"/>
        <family val="2"/>
      </rPr>
      <t>3</t>
    </r>
  </si>
  <si>
    <r>
      <t>DENSITY (M</t>
    </r>
    <r>
      <rPr>
        <b/>
        <vertAlign val="superscript"/>
        <sz val="9"/>
        <color theme="1"/>
        <rFont val="Agency FB"/>
        <family val="2"/>
      </rPr>
      <t>3</t>
    </r>
    <r>
      <rPr>
        <b/>
        <sz val="9"/>
        <color theme="1"/>
        <rFont val="Agency FB"/>
        <family val="2"/>
      </rPr>
      <t>/KG)</t>
    </r>
  </si>
  <si>
    <r>
      <t>CARBON (KGCO</t>
    </r>
    <r>
      <rPr>
        <b/>
        <vertAlign val="subscript"/>
        <sz val="9"/>
        <color theme="1"/>
        <rFont val="Agency FB"/>
        <family val="2"/>
      </rPr>
      <t>2</t>
    </r>
    <r>
      <rPr>
        <b/>
        <sz val="9"/>
        <color theme="1"/>
        <rFont val="Agency FB"/>
        <family val="2"/>
      </rPr>
      <t>/KG)</t>
    </r>
  </si>
  <si>
    <r>
      <t>CARBON (KGCO</t>
    </r>
    <r>
      <rPr>
        <b/>
        <vertAlign val="subscript"/>
        <sz val="9"/>
        <color theme="1"/>
        <rFont val="Agency FB"/>
        <family val="2"/>
      </rPr>
      <t>2</t>
    </r>
    <r>
      <rPr>
        <b/>
        <sz val="9"/>
        <color theme="1"/>
        <rFont val="Agency FB"/>
        <family val="2"/>
      </rPr>
      <t>)</t>
    </r>
  </si>
  <si>
    <r>
      <t>M</t>
    </r>
    <r>
      <rPr>
        <vertAlign val="superscript"/>
        <sz val="9"/>
        <color theme="1"/>
        <rFont val="Agency FB"/>
        <family val="2"/>
      </rPr>
      <t>3</t>
    </r>
  </si>
  <si>
    <t>Pondasi</t>
  </si>
  <si>
    <t>Kolom &amp; Balok</t>
  </si>
  <si>
    <t>Lantai</t>
  </si>
  <si>
    <t>Dinding</t>
  </si>
  <si>
    <t>Atap</t>
  </si>
  <si>
    <t>Pintu &amp; Jendela</t>
  </si>
  <si>
    <t>Batu</t>
  </si>
  <si>
    <t>Semen</t>
  </si>
  <si>
    <t>Pasir</t>
  </si>
  <si>
    <t>Kerikil</t>
  </si>
  <si>
    <t xml:space="preserve">Besi </t>
  </si>
  <si>
    <t>Kayu</t>
  </si>
  <si>
    <t>Keramik Tile</t>
  </si>
  <si>
    <t>Batu Bata</t>
  </si>
  <si>
    <t>Cat</t>
  </si>
  <si>
    <t>Atap Seng</t>
  </si>
  <si>
    <t>Kaca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</si>
</sst>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0_);_(* \(#,##0.000\);_(* &quot;-&quot;_);_(@_)"/>
    <numFmt numFmtId="166" formatCode="0.000"/>
    <numFmt numFmtId="167" formatCode="0.0"/>
    <numFmt numFmtId="168" formatCode="_(* #,##0.000_);_(* \(#,##0.000\);_(* &quot;-&quot;???_);_(@_)"/>
    <numFmt numFmtId="169" formatCode="#,##0.000"/>
    <numFmt numFmtId="170" formatCode="_(* #,##0.00_);_(* \(#,##0.00\);_(* &quot;-&quot;_);_(@_)"/>
    <numFmt numFmtId="171" formatCode="_(* #,##0.00_);_(* \(#,##0.00\);_(* &quot;-&quot;?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b/>
      <vertAlign val="subscript"/>
      <sz val="10"/>
      <color theme="1"/>
      <name val="Arial Narrow"/>
      <family val="2"/>
    </font>
    <font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b/>
      <sz val="9"/>
      <color theme="1"/>
      <name val="Agency FB"/>
      <family val="2"/>
    </font>
    <font>
      <b/>
      <vertAlign val="superscript"/>
      <sz val="9"/>
      <color theme="1"/>
      <name val="Agency FB"/>
      <family val="2"/>
    </font>
    <font>
      <b/>
      <vertAlign val="subscript"/>
      <sz val="9"/>
      <color theme="1"/>
      <name val="Agency FB"/>
      <family val="2"/>
    </font>
    <font>
      <sz val="9"/>
      <color theme="1"/>
      <name val="Agency FB"/>
      <family val="2"/>
    </font>
    <font>
      <vertAlign val="superscript"/>
      <sz val="9"/>
      <color theme="1"/>
      <name val="Agency FB"/>
      <family val="2"/>
    </font>
    <font>
      <b/>
      <sz val="11"/>
      <name val="Calibri"/>
      <family val="2"/>
    </font>
    <font>
      <b/>
      <sz val="18"/>
      <color theme="1" tint="0.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9"/>
      <color theme="1" tint="0.5"/>
      <name val="+mn-cs"/>
      <family val="2"/>
    </font>
    <font>
      <sz val="9"/>
      <color theme="1" tint="0.5"/>
      <name val="Calibri"/>
      <family val="2"/>
    </font>
    <font>
      <b/>
      <sz val="18"/>
      <color theme="1" tint="0.35"/>
      <name val="Calibri"/>
      <family val="2"/>
    </font>
  </fonts>
  <fills count="1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167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0" fillId="0" borderId="3" xfId="0" applyNumberFormat="1" applyBorder="1"/>
    <xf numFmtId="165" fontId="2" fillId="4" borderId="4" xfId="19" applyNumberFormat="1" applyFont="1" applyFill="1" applyBorder="1" applyAlignment="1">
      <alignment horizontal="center"/>
    </xf>
    <xf numFmtId="165" fontId="2" fillId="5" borderId="4" xfId="19" applyNumberFormat="1" applyFont="1" applyFill="1" applyBorder="1"/>
    <xf numFmtId="168" fontId="2" fillId="6" borderId="5" xfId="0" applyNumberFormat="1" applyFont="1" applyFill="1" applyBorder="1"/>
    <xf numFmtId="0" fontId="0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6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7" borderId="3" xfId="0" applyNumberFormat="1" applyFill="1" applyBorder="1" applyAlignment="1">
      <alignment horizontal="center"/>
    </xf>
    <xf numFmtId="2" fontId="0" fillId="7" borderId="3" xfId="0" applyNumberFormat="1" applyFill="1" applyBorder="1" applyAlignment="1">
      <alignment horizontal="center"/>
    </xf>
    <xf numFmtId="2" fontId="0" fillId="8" borderId="3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0" fillId="9" borderId="3" xfId="0" applyNumberFormat="1" applyFill="1" applyBorder="1" applyAlignment="1">
      <alignment horizontal="center"/>
    </xf>
    <xf numFmtId="2" fontId="0" fillId="10" borderId="3" xfId="0" applyNumberFormat="1" applyFill="1" applyBorder="1" applyAlignment="1">
      <alignment horizontal="center"/>
    </xf>
    <xf numFmtId="2" fontId="0" fillId="11" borderId="3" xfId="0" applyNumberFormat="1" applyFill="1" applyBorder="1" applyAlignment="1">
      <alignment horizontal="center"/>
    </xf>
    <xf numFmtId="2" fontId="0" fillId="12" borderId="3" xfId="0" applyNumberFormat="1" applyFill="1" applyBorder="1" applyAlignment="1">
      <alignment horizontal="center"/>
    </xf>
    <xf numFmtId="1" fontId="0" fillId="12" borderId="3" xfId="0" applyNumberFormat="1" applyFill="1" applyBorder="1" applyAlignment="1">
      <alignment horizontal="center"/>
    </xf>
    <xf numFmtId="2" fontId="0" fillId="13" borderId="3" xfId="0" applyNumberFormat="1" applyFill="1" applyBorder="1" applyAlignment="1">
      <alignment horizontal="center"/>
    </xf>
    <xf numFmtId="2" fontId="0" fillId="14" borderId="3" xfId="0" applyNumberFormat="1" applyFill="1" applyBorder="1" applyAlignment="1">
      <alignment horizontal="center"/>
    </xf>
    <xf numFmtId="2" fontId="0" fillId="0" borderId="0" xfId="0" applyNumberFormat="1" applyBorder="1"/>
    <xf numFmtId="0" fontId="0" fillId="0" borderId="5" xfId="0" applyBorder="1"/>
    <xf numFmtId="0" fontId="0" fillId="0" borderId="5" xfId="0" applyFill="1" applyBorder="1"/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0" fillId="0" borderId="0" xfId="0" applyFill="1" applyBorder="1"/>
    <xf numFmtId="9" fontId="0" fillId="0" borderId="5" xfId="15" applyFont="1" applyBorder="1" applyAlignment="1">
      <alignment horizontal="center" vertical="center"/>
    </xf>
    <xf numFmtId="9" fontId="2" fillId="0" borderId="5" xfId="15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 quotePrefix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0" borderId="13" xfId="0" applyFont="1" applyBorder="1" applyAlignment="1">
      <alignment vertical="center"/>
    </xf>
    <xf numFmtId="2" fontId="9" fillId="0" borderId="12" xfId="0" applyNumberFormat="1" applyFont="1" applyBorder="1"/>
    <xf numFmtId="0" fontId="9" fillId="0" borderId="1" xfId="0" applyFont="1" applyFill="1" applyBorder="1"/>
    <xf numFmtId="2" fontId="9" fillId="0" borderId="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167" fontId="9" fillId="0" borderId="1" xfId="0" applyNumberFormat="1" applyFont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/>
    </xf>
    <xf numFmtId="170" fontId="6" fillId="0" borderId="4" xfId="19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vertical="center" wrapText="1"/>
    </xf>
    <xf numFmtId="171" fontId="6" fillId="0" borderId="19" xfId="0" applyNumberFormat="1" applyFont="1" applyFill="1" applyBorder="1" applyAlignment="1">
      <alignment horizontal="center" vertical="center"/>
    </xf>
    <xf numFmtId="171" fontId="6" fillId="0" borderId="20" xfId="0" applyNumberFormat="1" applyFont="1" applyFill="1" applyBorder="1" applyAlignment="1">
      <alignment horizontal="center" vertical="center"/>
    </xf>
    <xf numFmtId="0" fontId="11" fillId="15" borderId="14" xfId="0" applyFont="1" applyFill="1" applyBorder="1" applyAlignment="1">
      <alignment horizontal="center" vertical="center" wrapText="1"/>
    </xf>
    <xf numFmtId="0" fontId="11" fillId="15" borderId="18" xfId="0" applyFont="1" applyFill="1" applyBorder="1" applyAlignment="1">
      <alignment horizontal="center" vertical="center" wrapText="1"/>
    </xf>
    <xf numFmtId="0" fontId="11" fillId="15" borderId="19" xfId="0" applyFont="1" applyFill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 quotePrefix="1">
      <alignment horizontal="center"/>
    </xf>
    <xf numFmtId="1" fontId="14" fillId="0" borderId="1" xfId="0" applyNumberFormat="1" applyFont="1" applyBorder="1" applyAlignment="1">
      <alignment horizontal="center"/>
    </xf>
    <xf numFmtId="0" fontId="14" fillId="0" borderId="13" xfId="0" applyFont="1" applyBorder="1" applyAlignment="1">
      <alignment vertical="center"/>
    </xf>
    <xf numFmtId="2" fontId="14" fillId="0" borderId="12" xfId="0" applyNumberFormat="1" applyFont="1" applyBorder="1"/>
    <xf numFmtId="0" fontId="14" fillId="0" borderId="1" xfId="0" applyFont="1" applyFill="1" applyBorder="1"/>
    <xf numFmtId="2" fontId="14" fillId="0" borderId="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167" fontId="14" fillId="0" borderId="1" xfId="0" applyNumberFormat="1" applyFont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/>
    </xf>
    <xf numFmtId="170" fontId="11" fillId="0" borderId="4" xfId="19" applyNumberFormat="1" applyFont="1" applyFill="1" applyBorder="1" applyAlignment="1">
      <alignment horizontal="center" vertical="center"/>
    </xf>
    <xf numFmtId="171" fontId="11" fillId="0" borderId="19" xfId="0" applyNumberFormat="1" applyFont="1" applyFill="1" applyBorder="1" applyAlignment="1">
      <alignment horizontal="center" vertical="center"/>
    </xf>
    <xf numFmtId="171" fontId="11" fillId="0" borderId="20" xfId="0" applyNumberFormat="1" applyFont="1" applyFill="1" applyBorder="1" applyAlignment="1">
      <alignment horizontal="center" vertical="center"/>
    </xf>
    <xf numFmtId="170" fontId="0" fillId="0" borderId="5" xfId="19" applyNumberFormat="1" applyFont="1" applyBorder="1" applyAlignment="1">
      <alignment horizontal="center" vertical="center"/>
    </xf>
    <xf numFmtId="170" fontId="2" fillId="0" borderId="5" xfId="19" applyNumberFormat="1" applyFont="1" applyBorder="1"/>
    <xf numFmtId="170" fontId="0" fillId="0" borderId="5" xfId="19" applyNumberFormat="1" applyFont="1" applyBorder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7" borderId="26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15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15" borderId="27" xfId="0" applyFont="1" applyFill="1" applyBorder="1" applyAlignment="1">
      <alignment horizontal="center" vertical="center"/>
    </xf>
    <xf numFmtId="0" fontId="11" fillId="15" borderId="24" xfId="0" applyFont="1" applyFill="1" applyBorder="1" applyAlignment="1">
      <alignment horizontal="center" vertical="center"/>
    </xf>
    <xf numFmtId="0" fontId="11" fillId="15" borderId="28" xfId="0" applyFont="1" applyFill="1" applyBorder="1" applyAlignment="1">
      <alignment horizontal="center" vertical="center"/>
    </xf>
    <xf numFmtId="0" fontId="11" fillId="15" borderId="14" xfId="0" applyFont="1" applyFill="1" applyBorder="1" applyAlignment="1">
      <alignment horizontal="center" vertical="center"/>
    </xf>
    <xf numFmtId="0" fontId="11" fillId="15" borderId="28" xfId="0" applyFont="1" applyFill="1" applyBorder="1" applyAlignment="1">
      <alignment horizontal="center" vertical="center" wrapText="1"/>
    </xf>
    <xf numFmtId="0" fontId="11" fillId="15" borderId="14" xfId="0" applyFont="1" applyFill="1" applyBorder="1" applyAlignment="1">
      <alignment horizontal="center" vertical="center" wrapText="1"/>
    </xf>
    <xf numFmtId="0" fontId="11" fillId="15" borderId="29" xfId="0" applyFont="1" applyFill="1" applyBorder="1" applyAlignment="1">
      <alignment horizontal="center" vertical="center"/>
    </xf>
    <xf numFmtId="0" fontId="11" fillId="15" borderId="3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latin typeface="Calibri"/>
                <a:ea typeface="Calibri"/>
                <a:cs typeface="Calibri"/>
              </a:rPr>
              <a:t>EMBODIED ENERGI</a:t>
            </a:r>
          </a:p>
        </c:rich>
      </c:tx>
      <c:layout>
        <c:manualLayout>
          <c:xMode val="edge"/>
          <c:yMode val="edge"/>
          <c:x val="0.54475"/>
          <c:y val="0.029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EMBODIED ENERGY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-0.107"/>
                  <c:y val="0.022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Material!$M$4:$M$14</c:f>
              <c:strCache/>
            </c:strRef>
          </c:cat>
          <c:val>
            <c:numRef>
              <c:f>Material!$N$4:$N$14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EMBODIED KARBON</a:t>
            </a:r>
          </a:p>
        </c:rich>
      </c:tx>
      <c:layout>
        <c:manualLayout>
          <c:xMode val="edge"/>
          <c:yMode val="edge"/>
          <c:x val="0.54075"/>
          <c:y val="0.01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EMBODIED CARBON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-0.055"/>
                  <c:y val="0.0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Material!$M$4:$M$14</c:f>
              <c:strCache/>
            </c:strRef>
          </c:cat>
          <c:val>
            <c:numRef>
              <c:f>Material!$O$4:$O$14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SUMMARY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CALCULATION OF ENERGY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EMBODIED ENERGY (EE)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Material!$M$22:$M$28</c:f>
              <c:strCache/>
            </c:strRef>
          </c:cat>
          <c:val>
            <c:numRef>
              <c:f>Material!$N$22:$N$28</c:f>
              <c:numCache/>
            </c:numRef>
          </c:val>
        </c:ser>
        <c:ser>
          <c:idx val="1"/>
          <c:order val="1"/>
          <c:tx>
            <c:v>EMBODIED CARBON (EC)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Material!$M$22:$M$28</c:f>
              <c:strCache/>
            </c:strRef>
          </c:cat>
          <c:val>
            <c:numRef>
              <c:f>Material!$O$22:$O$28</c:f>
              <c:numCache/>
            </c:numRef>
          </c:val>
        </c:ser>
        <c:axId val="53408223"/>
        <c:axId val="10911960"/>
      </c:barChart>
      <c:catAx>
        <c:axId val="53408223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10911960"/>
        <c:crosses val="autoZero"/>
        <c:auto val="1"/>
        <c:lblOffset val="100"/>
        <c:noMultiLvlLbl val="0"/>
      </c:catAx>
      <c:valAx>
        <c:axId val="10911960"/>
        <c:scaling>
          <c:orientation val="minMax"/>
        </c:scaling>
        <c:axPos val="b"/>
        <c:delete val="1"/>
        <c:majorTickMark val="out"/>
        <c:minorTickMark val="none"/>
        <c:tickLblPos val="nextTo"/>
        <c:crossAx val="5340822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57"/>
          <c:y val="0.46375"/>
          <c:w val="0.23875"/>
          <c:h val="0.163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JUMLAH ENERGI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 DAN EMISI MASING-MASING KOMPONEN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Emboied Energi (MJ)</c:v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CE6F2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Material!$M$22:$M$27</c:f>
              <c:strCache/>
            </c:strRef>
          </c:cat>
          <c:val>
            <c:numRef>
              <c:f>Material!$N$22:$N$27</c:f>
              <c:numCache/>
            </c:numRef>
          </c:val>
        </c:ser>
        <c:ser>
          <c:idx val="1"/>
          <c:order val="1"/>
          <c:tx>
            <c:v>Embodied Karbon (KGCO2)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3DCDB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4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3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6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225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Material!$M$22:$M$27</c:f>
              <c:strCache/>
            </c:strRef>
          </c:cat>
          <c:val>
            <c:numRef>
              <c:f>Material!$O$22:$O$27</c:f>
              <c:numCache/>
            </c:numRef>
          </c:val>
        </c:ser>
        <c:overlap val="-22"/>
        <c:gapWidth val="164"/>
        <c:axId val="31098777"/>
        <c:axId val="11453538"/>
      </c:barChart>
      <c:catAx>
        <c:axId val="31098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453538"/>
        <c:crosses val="autoZero"/>
        <c:auto val="1"/>
        <c:lblOffset val="100"/>
        <c:noMultiLvlLbl val="0"/>
      </c:catAx>
      <c:valAx>
        <c:axId val="11453538"/>
        <c:scaling>
          <c:orientation val="minMax"/>
        </c:scaling>
        <c:axPos val="l"/>
        <c:delete val="1"/>
        <c:majorTickMark val="none"/>
        <c:minorTickMark val="none"/>
        <c:tickLblPos val="nextTo"/>
        <c:crossAx val="310987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Embodied Energi (MJ)</c:v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Material!$M$28</c:f>
              <c:strCache/>
            </c:strRef>
          </c:cat>
          <c:val>
            <c:numRef>
              <c:f>Material!$N$28</c:f>
              <c:numCache/>
            </c:numRef>
          </c:val>
        </c:ser>
        <c:ser>
          <c:idx val="1"/>
          <c:order val="1"/>
          <c:tx>
            <c:v>Embodied Karbon (KgCO2)</c:v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Material!$M$28</c:f>
              <c:strCache/>
            </c:strRef>
          </c:cat>
          <c:val>
            <c:numRef>
              <c:f>Material!$O$28</c:f>
              <c:numCache/>
            </c:numRef>
          </c:val>
        </c:ser>
        <c:axId val="35972979"/>
        <c:axId val="55321356"/>
      </c:barChart>
      <c:catAx>
        <c:axId val="35972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321356"/>
        <c:crosses val="autoZero"/>
        <c:auto val="1"/>
        <c:lblOffset val="100"/>
        <c:noMultiLvlLbl val="0"/>
      </c:catAx>
      <c:valAx>
        <c:axId val="55321356"/>
        <c:scaling>
          <c:orientation val="minMax"/>
        </c:scaling>
        <c:axPos val="l"/>
        <c:delete val="1"/>
        <c:majorTickMark val="out"/>
        <c:minorTickMark val="none"/>
        <c:tickLblPos val="nextTo"/>
        <c:crossAx val="359729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persentase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 konsumsi energi dan karbon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Embodied Energi</c:v>
          </c:tx>
          <c:spPr>
            <a:gradFill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Material!$M$31:$M$36</c:f>
              <c:strCache/>
            </c:strRef>
          </c:cat>
          <c:val>
            <c:numRef>
              <c:f>Material!$N$31:$N$36</c:f>
              <c:numCache/>
            </c:numRef>
          </c:val>
        </c:ser>
        <c:ser>
          <c:idx val="1"/>
          <c:order val="1"/>
          <c:tx>
            <c:v>Embodied Karbon</c:v>
          </c:tx>
          <c:spPr>
            <a:gradFill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Material!$M$31:$M$36</c:f>
              <c:strCache/>
            </c:strRef>
          </c:cat>
          <c:val>
            <c:numRef>
              <c:f>Material!$O$31:$O$36</c:f>
              <c:numCache/>
            </c:numRef>
          </c:val>
        </c:ser>
        <c:overlap val="-70"/>
        <c:gapWidth val="355"/>
        <c:axId val="28130157"/>
        <c:axId val="51844822"/>
      </c:barChart>
      <c:catAx>
        <c:axId val="28130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844822"/>
        <c:crosses val="autoZero"/>
        <c:auto val="1"/>
        <c:lblOffset val="100"/>
        <c:noMultiLvlLbl val="0"/>
      </c:catAx>
      <c:valAx>
        <c:axId val="51844822"/>
        <c:scaling>
          <c:orientation val="minMax"/>
        </c:scaling>
        <c:axPos val="l"/>
        <c:delete val="1"/>
        <c:majorTickMark val="none"/>
        <c:minorTickMark val="none"/>
        <c:tickLblPos val="nextTo"/>
        <c:crossAx val="2813015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342900</xdr:colOff>
      <xdr:row>1</xdr:row>
      <xdr:rowOff>95250</xdr:rowOff>
    </xdr:from>
    <xdr:to>
      <xdr:col>23</xdr:col>
      <xdr:colOff>409575</xdr:colOff>
      <xdr:row>18</xdr:row>
      <xdr:rowOff>104775</xdr:rowOff>
    </xdr:to>
    <xdr:graphicFrame macro="">
      <xdr:nvGraphicFramePr>
        <xdr:cNvPr id="4" name="Chart 3"/>
        <xdr:cNvGraphicFramePr/>
      </xdr:nvGraphicFramePr>
      <xdr:xfrm>
        <a:off x="8677275" y="285750"/>
        <a:ext cx="49434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9525</xdr:colOff>
      <xdr:row>1</xdr:row>
      <xdr:rowOff>123825</xdr:rowOff>
    </xdr:from>
    <xdr:to>
      <xdr:col>32</xdr:col>
      <xdr:colOff>95250</xdr:colOff>
      <xdr:row>18</xdr:row>
      <xdr:rowOff>95250</xdr:rowOff>
    </xdr:to>
    <xdr:graphicFrame macro="">
      <xdr:nvGraphicFramePr>
        <xdr:cNvPr id="5" name="Chart 4"/>
        <xdr:cNvGraphicFramePr/>
      </xdr:nvGraphicFramePr>
      <xdr:xfrm>
        <a:off x="13830300" y="314325"/>
        <a:ext cx="49625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400050</xdr:colOff>
      <xdr:row>20</xdr:row>
      <xdr:rowOff>171450</xdr:rowOff>
    </xdr:from>
    <xdr:to>
      <xdr:col>26</xdr:col>
      <xdr:colOff>0</xdr:colOff>
      <xdr:row>36</xdr:row>
      <xdr:rowOff>190500</xdr:rowOff>
    </xdr:to>
    <xdr:graphicFrame macro="">
      <xdr:nvGraphicFramePr>
        <xdr:cNvPr id="8" name="Chart 7"/>
        <xdr:cNvGraphicFramePr/>
      </xdr:nvGraphicFramePr>
      <xdr:xfrm>
        <a:off x="8734425" y="4276725"/>
        <a:ext cx="6305550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39</xdr:row>
      <xdr:rowOff>9525</xdr:rowOff>
    </xdr:from>
    <xdr:to>
      <xdr:col>20</xdr:col>
      <xdr:colOff>600075</xdr:colOff>
      <xdr:row>53</xdr:row>
      <xdr:rowOff>85725</xdr:rowOff>
    </xdr:to>
    <xdr:graphicFrame macro="">
      <xdr:nvGraphicFramePr>
        <xdr:cNvPr id="2" name="Chart 1"/>
        <xdr:cNvGraphicFramePr/>
      </xdr:nvGraphicFramePr>
      <xdr:xfrm>
        <a:off x="7410450" y="80295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495300</xdr:colOff>
      <xdr:row>38</xdr:row>
      <xdr:rowOff>95250</xdr:rowOff>
    </xdr:from>
    <xdr:to>
      <xdr:col>29</xdr:col>
      <xdr:colOff>104775</xdr:colOff>
      <xdr:row>52</xdr:row>
      <xdr:rowOff>171450</xdr:rowOff>
    </xdr:to>
    <xdr:graphicFrame macro="">
      <xdr:nvGraphicFramePr>
        <xdr:cNvPr id="3" name="Chart 2"/>
        <xdr:cNvGraphicFramePr/>
      </xdr:nvGraphicFramePr>
      <xdr:xfrm>
        <a:off x="13706475" y="7924800"/>
        <a:ext cx="32670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285750</xdr:colOff>
      <xdr:row>39</xdr:row>
      <xdr:rowOff>57150</xdr:rowOff>
    </xdr:from>
    <xdr:to>
      <xdr:col>13</xdr:col>
      <xdr:colOff>190500</xdr:colOff>
      <xdr:row>53</xdr:row>
      <xdr:rowOff>133350</xdr:rowOff>
    </xdr:to>
    <xdr:graphicFrame macro="">
      <xdr:nvGraphicFramePr>
        <xdr:cNvPr id="7" name="Chart 6"/>
        <xdr:cNvGraphicFramePr/>
      </xdr:nvGraphicFramePr>
      <xdr:xfrm>
        <a:off x="2676525" y="8077200"/>
        <a:ext cx="43719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7"/>
  <sheetViews>
    <sheetView showGridLines="0" workbookViewId="0" topLeftCell="A19">
      <selection activeCell="K36" sqref="K36"/>
    </sheetView>
  </sheetViews>
  <sheetFormatPr defaultColWidth="9.140625" defaultRowHeight="15"/>
  <cols>
    <col min="1" max="1" width="3.8515625" style="0" bestFit="1" customWidth="1"/>
    <col min="2" max="2" width="13.7109375" style="4" bestFit="1" customWidth="1"/>
    <col min="3" max="3" width="15.140625" style="0" bestFit="1" customWidth="1"/>
    <col min="4" max="4" width="14.421875" style="0" bestFit="1" customWidth="1"/>
    <col min="5" max="5" width="7.57421875" style="4" bestFit="1" customWidth="1"/>
    <col min="6" max="6" width="4.7109375" style="4" bestFit="1" customWidth="1"/>
    <col min="7" max="7" width="8.00390625" style="4" customWidth="1"/>
    <col min="8" max="8" width="7.57421875" style="4" customWidth="1"/>
    <col min="9" max="9" width="7.28125" style="4" customWidth="1"/>
    <col min="10" max="10" width="10.00390625" style="4" customWidth="1"/>
    <col min="11" max="11" width="9.57421875" style="0" customWidth="1"/>
    <col min="12" max="12" width="8.7109375" style="0" customWidth="1"/>
  </cols>
  <sheetData>
    <row r="1" ht="15.75" thickBot="1"/>
    <row r="2" spans="1:12" ht="15" customHeight="1" thickBot="1">
      <c r="A2" s="145" t="s">
        <v>31</v>
      </c>
      <c r="B2" s="147" t="s">
        <v>26</v>
      </c>
      <c r="C2" s="147" t="s">
        <v>32</v>
      </c>
      <c r="D2" s="147" t="s">
        <v>0</v>
      </c>
      <c r="E2" s="147" t="s">
        <v>1</v>
      </c>
      <c r="F2" s="147" t="s">
        <v>33</v>
      </c>
      <c r="G2" s="151" t="s">
        <v>182</v>
      </c>
      <c r="H2" s="151" t="s">
        <v>23</v>
      </c>
      <c r="I2" s="149" t="s">
        <v>181</v>
      </c>
      <c r="J2" s="150"/>
      <c r="K2" s="144" t="s">
        <v>3</v>
      </c>
      <c r="L2" s="144"/>
    </row>
    <row r="3" spans="1:12" ht="39.75" thickBot="1">
      <c r="A3" s="146"/>
      <c r="B3" s="148"/>
      <c r="C3" s="148"/>
      <c r="D3" s="148"/>
      <c r="E3" s="148"/>
      <c r="F3" s="148"/>
      <c r="G3" s="152"/>
      <c r="H3" s="152"/>
      <c r="I3" s="92" t="s">
        <v>27</v>
      </c>
      <c r="J3" s="93" t="s">
        <v>183</v>
      </c>
      <c r="K3" s="94" t="s">
        <v>28</v>
      </c>
      <c r="L3" s="95" t="s">
        <v>184</v>
      </c>
    </row>
    <row r="4" spans="1:12" ht="15">
      <c r="A4" s="139">
        <v>1</v>
      </c>
      <c r="B4" s="135" t="s">
        <v>14</v>
      </c>
      <c r="C4" s="134" t="s">
        <v>22</v>
      </c>
      <c r="D4" s="64" t="s">
        <v>36</v>
      </c>
      <c r="E4" s="65">
        <v>10.52</v>
      </c>
      <c r="F4" s="66" t="s">
        <v>185</v>
      </c>
      <c r="G4" s="65">
        <v>1450</v>
      </c>
      <c r="H4" s="65">
        <f>E4*G4</f>
        <v>15254</v>
      </c>
      <c r="I4" s="67">
        <v>1</v>
      </c>
      <c r="J4" s="68">
        <v>0.056</v>
      </c>
      <c r="K4" s="69">
        <f>H4*I4</f>
        <v>15254</v>
      </c>
      <c r="L4" s="70">
        <f>H4*J4</f>
        <v>854.224</v>
      </c>
    </row>
    <row r="5" spans="1:12" ht="15">
      <c r="A5" s="139"/>
      <c r="B5" s="135"/>
      <c r="C5" s="134"/>
      <c r="D5" s="64" t="s">
        <v>37</v>
      </c>
      <c r="E5" s="71">
        <f>163*9.5625</f>
        <v>1558.6875</v>
      </c>
      <c r="F5" s="71" t="s">
        <v>35</v>
      </c>
      <c r="G5" s="72" t="s">
        <v>24</v>
      </c>
      <c r="H5" s="65">
        <v>1558.69</v>
      </c>
      <c r="I5" s="67">
        <v>4.6</v>
      </c>
      <c r="J5" s="68">
        <v>0.83</v>
      </c>
      <c r="K5" s="70">
        <f>H5*I5</f>
        <v>7169.973999999999</v>
      </c>
      <c r="L5" s="70">
        <f>H5*J5</f>
        <v>1293.7127</v>
      </c>
    </row>
    <row r="6" spans="1:12" ht="15">
      <c r="A6" s="139"/>
      <c r="B6" s="135"/>
      <c r="C6" s="134"/>
      <c r="D6" s="64" t="s">
        <v>38</v>
      </c>
      <c r="E6" s="65">
        <v>4.97</v>
      </c>
      <c r="F6" s="66" t="s">
        <v>185</v>
      </c>
      <c r="G6" s="65">
        <v>1400</v>
      </c>
      <c r="H6" s="73">
        <f>E6*G6</f>
        <v>6958</v>
      </c>
      <c r="I6" s="67">
        <v>0.1</v>
      </c>
      <c r="J6" s="68">
        <v>0.005</v>
      </c>
      <c r="K6" s="70">
        <f>H6*I6</f>
        <v>695.8000000000001</v>
      </c>
      <c r="L6" s="70">
        <f>H6*J6</f>
        <v>34.79</v>
      </c>
    </row>
    <row r="7" spans="1:12" ht="15">
      <c r="A7" s="74"/>
      <c r="B7" s="65"/>
      <c r="C7" s="64"/>
      <c r="D7" s="64"/>
      <c r="E7" s="65"/>
      <c r="F7" s="65"/>
      <c r="G7" s="65"/>
      <c r="H7" s="65"/>
      <c r="I7" s="67"/>
      <c r="J7" s="68"/>
      <c r="K7" s="75"/>
      <c r="L7" s="75"/>
    </row>
    <row r="8" spans="1:12" ht="15">
      <c r="A8" s="139">
        <v>2</v>
      </c>
      <c r="B8" s="153" t="s">
        <v>21</v>
      </c>
      <c r="C8" s="134" t="s">
        <v>19</v>
      </c>
      <c r="D8" s="64" t="s">
        <v>41</v>
      </c>
      <c r="E8" s="65">
        <f>2.24*352</f>
        <v>788.48</v>
      </c>
      <c r="F8" s="71" t="s">
        <v>35</v>
      </c>
      <c r="G8" s="72" t="s">
        <v>24</v>
      </c>
      <c r="H8" s="65">
        <v>788.48</v>
      </c>
      <c r="I8" s="67">
        <v>4.6</v>
      </c>
      <c r="J8" s="68">
        <v>0.83</v>
      </c>
      <c r="K8" s="70">
        <f aca="true" t="shared" si="0" ref="K8:K17">H8*I8</f>
        <v>3627.008</v>
      </c>
      <c r="L8" s="70">
        <f aca="true" t="shared" si="1" ref="L8:L17">H8*J8</f>
        <v>654.4384</v>
      </c>
    </row>
    <row r="9" spans="1:12" ht="15">
      <c r="A9" s="139"/>
      <c r="B9" s="153"/>
      <c r="C9" s="134"/>
      <c r="D9" s="64" t="s">
        <v>49</v>
      </c>
      <c r="E9" s="71">
        <f>2.24*0.5221</f>
        <v>1.169504</v>
      </c>
      <c r="F9" s="66" t="s">
        <v>185</v>
      </c>
      <c r="G9" s="73">
        <v>1400</v>
      </c>
      <c r="H9" s="71">
        <f>E9*G9</f>
        <v>1637.3056000000001</v>
      </c>
      <c r="I9" s="67">
        <v>0.1</v>
      </c>
      <c r="J9" s="68">
        <v>0.005</v>
      </c>
      <c r="K9" s="70">
        <f t="shared" si="0"/>
        <v>163.73056000000003</v>
      </c>
      <c r="L9" s="70">
        <f t="shared" si="1"/>
        <v>8.186528000000001</v>
      </c>
    </row>
    <row r="10" spans="1:12" ht="15">
      <c r="A10" s="139"/>
      <c r="B10" s="153"/>
      <c r="C10" s="134"/>
      <c r="D10" s="64" t="s">
        <v>50</v>
      </c>
      <c r="E10" s="71">
        <f>2.24*0.7637</f>
        <v>1.7106880000000002</v>
      </c>
      <c r="F10" s="66" t="s">
        <v>185</v>
      </c>
      <c r="G10" s="73">
        <v>1800</v>
      </c>
      <c r="H10" s="71">
        <f>E10*G10</f>
        <v>3079.2384</v>
      </c>
      <c r="I10" s="67">
        <v>0.3</v>
      </c>
      <c r="J10" s="68">
        <v>0.017</v>
      </c>
      <c r="K10" s="70">
        <f t="shared" si="0"/>
        <v>923.77152</v>
      </c>
      <c r="L10" s="70">
        <f t="shared" si="1"/>
        <v>52.34705280000001</v>
      </c>
    </row>
    <row r="11" spans="1:12" ht="15">
      <c r="A11" s="139"/>
      <c r="B11" s="153"/>
      <c r="C11" s="134"/>
      <c r="D11" s="64" t="s">
        <v>51</v>
      </c>
      <c r="E11" s="65">
        <v>133.97</v>
      </c>
      <c r="F11" s="71" t="s">
        <v>35</v>
      </c>
      <c r="G11" s="72" t="s">
        <v>24</v>
      </c>
      <c r="H11" s="65">
        <v>133.97</v>
      </c>
      <c r="I11" s="67">
        <v>24.6</v>
      </c>
      <c r="J11" s="68">
        <v>1.71</v>
      </c>
      <c r="K11" s="70">
        <f t="shared" si="0"/>
        <v>3295.6620000000003</v>
      </c>
      <c r="L11" s="70">
        <f t="shared" si="1"/>
        <v>229.0887</v>
      </c>
    </row>
    <row r="12" spans="1:12" ht="15">
      <c r="A12" s="139"/>
      <c r="B12" s="153"/>
      <c r="C12" s="134"/>
      <c r="D12" s="64" t="s">
        <v>52</v>
      </c>
      <c r="E12" s="65">
        <f>(0.03*56)/2</f>
        <v>0.84</v>
      </c>
      <c r="F12" s="66" t="s">
        <v>185</v>
      </c>
      <c r="G12" s="65">
        <v>705</v>
      </c>
      <c r="H12" s="71">
        <f>E12*G12</f>
        <v>592.1999999999999</v>
      </c>
      <c r="I12" s="67">
        <v>7.4</v>
      </c>
      <c r="J12" s="68">
        <v>0.45</v>
      </c>
      <c r="K12" s="70">
        <f t="shared" si="0"/>
        <v>4382.28</v>
      </c>
      <c r="L12" s="70">
        <f t="shared" si="1"/>
        <v>266.48999999999995</v>
      </c>
    </row>
    <row r="13" spans="1:12" ht="15">
      <c r="A13" s="139"/>
      <c r="B13" s="153"/>
      <c r="C13" s="134" t="s">
        <v>20</v>
      </c>
      <c r="D13" s="64" t="s">
        <v>41</v>
      </c>
      <c r="E13" s="65">
        <f>1.98*352</f>
        <v>696.96</v>
      </c>
      <c r="F13" s="71" t="s">
        <v>35</v>
      </c>
      <c r="G13" s="72" t="s">
        <v>24</v>
      </c>
      <c r="H13" s="65">
        <v>696.96</v>
      </c>
      <c r="I13" s="67">
        <v>4.6</v>
      </c>
      <c r="J13" s="68">
        <v>0.83</v>
      </c>
      <c r="K13" s="70">
        <f t="shared" si="0"/>
        <v>3206.016</v>
      </c>
      <c r="L13" s="70">
        <f t="shared" si="1"/>
        <v>578.4768</v>
      </c>
    </row>
    <row r="14" spans="1:12" ht="15">
      <c r="A14" s="139"/>
      <c r="B14" s="153"/>
      <c r="C14" s="134"/>
      <c r="D14" s="64" t="s">
        <v>49</v>
      </c>
      <c r="E14" s="71">
        <f>1.98*0.5221</f>
        <v>1.033758</v>
      </c>
      <c r="F14" s="66" t="s">
        <v>185</v>
      </c>
      <c r="G14" s="73">
        <v>1400</v>
      </c>
      <c r="H14" s="71">
        <f>E14*G14</f>
        <v>1447.2612</v>
      </c>
      <c r="I14" s="67">
        <v>0.1</v>
      </c>
      <c r="J14" s="68">
        <v>0.005</v>
      </c>
      <c r="K14" s="70">
        <f t="shared" si="0"/>
        <v>144.72612</v>
      </c>
      <c r="L14" s="70">
        <f t="shared" si="1"/>
        <v>7.236306</v>
      </c>
    </row>
    <row r="15" spans="1:12" ht="15">
      <c r="A15" s="139"/>
      <c r="B15" s="153"/>
      <c r="C15" s="134"/>
      <c r="D15" s="64" t="s">
        <v>50</v>
      </c>
      <c r="E15" s="71">
        <f>1.98*0.7637</f>
        <v>1.512126</v>
      </c>
      <c r="F15" s="66" t="s">
        <v>185</v>
      </c>
      <c r="G15" s="73">
        <v>1800</v>
      </c>
      <c r="H15" s="71">
        <f>E15*G15</f>
        <v>2721.8268000000003</v>
      </c>
      <c r="I15" s="67">
        <v>0.3</v>
      </c>
      <c r="J15" s="68">
        <v>0.017</v>
      </c>
      <c r="K15" s="70">
        <f t="shared" si="0"/>
        <v>816.54804</v>
      </c>
      <c r="L15" s="70">
        <f t="shared" si="1"/>
        <v>46.27105560000001</v>
      </c>
    </row>
    <row r="16" spans="1:12" ht="15">
      <c r="A16" s="139"/>
      <c r="B16" s="153"/>
      <c r="C16" s="134"/>
      <c r="D16" s="64" t="s">
        <v>51</v>
      </c>
      <c r="E16" s="71">
        <f>2.64*59.81</f>
        <v>157.8984</v>
      </c>
      <c r="F16" s="71" t="s">
        <v>35</v>
      </c>
      <c r="G16" s="72" t="s">
        <v>24</v>
      </c>
      <c r="H16" s="71">
        <v>157.9</v>
      </c>
      <c r="I16" s="67">
        <v>24.6</v>
      </c>
      <c r="J16" s="68">
        <v>1.71</v>
      </c>
      <c r="K16" s="70">
        <f t="shared" si="0"/>
        <v>3884.34</v>
      </c>
      <c r="L16" s="70">
        <f t="shared" si="1"/>
        <v>270.009</v>
      </c>
    </row>
    <row r="17" spans="1:12" ht="15">
      <c r="A17" s="139"/>
      <c r="B17" s="153"/>
      <c r="C17" s="134"/>
      <c r="D17" s="64" t="s">
        <v>52</v>
      </c>
      <c r="E17" s="65">
        <f>((66/2)*0.03)/2</f>
        <v>0.495</v>
      </c>
      <c r="F17" s="66" t="s">
        <v>185</v>
      </c>
      <c r="G17" s="65">
        <v>705</v>
      </c>
      <c r="H17" s="71">
        <f>E17*G17</f>
        <v>348.975</v>
      </c>
      <c r="I17" s="67">
        <v>7.4</v>
      </c>
      <c r="J17" s="68">
        <v>0.45</v>
      </c>
      <c r="K17" s="70">
        <f t="shared" si="0"/>
        <v>2582.4150000000004</v>
      </c>
      <c r="L17" s="70">
        <f t="shared" si="1"/>
        <v>157.03875000000002</v>
      </c>
    </row>
    <row r="18" spans="1:12" ht="15">
      <c r="A18" s="74"/>
      <c r="B18" s="65"/>
      <c r="C18" s="64"/>
      <c r="D18" s="64"/>
      <c r="E18" s="65"/>
      <c r="F18" s="65"/>
      <c r="G18" s="65"/>
      <c r="H18" s="65"/>
      <c r="I18" s="67"/>
      <c r="J18" s="68"/>
      <c r="K18" s="75"/>
      <c r="L18" s="75"/>
    </row>
    <row r="19" spans="1:12" ht="15">
      <c r="A19" s="139">
        <v>3</v>
      </c>
      <c r="B19" s="135" t="s">
        <v>13</v>
      </c>
      <c r="C19" s="134" t="s">
        <v>180</v>
      </c>
      <c r="D19" s="64" t="s">
        <v>41</v>
      </c>
      <c r="E19" s="65">
        <f>36*10.4</f>
        <v>374.40000000000003</v>
      </c>
      <c r="F19" s="71" t="s">
        <v>35</v>
      </c>
      <c r="G19" s="72" t="s">
        <v>24</v>
      </c>
      <c r="H19" s="65">
        <v>374.4</v>
      </c>
      <c r="I19" s="67">
        <v>4.6</v>
      </c>
      <c r="J19" s="68">
        <v>0.83</v>
      </c>
      <c r="K19" s="70">
        <f>H19*I19</f>
        <v>1722.2399999999998</v>
      </c>
      <c r="L19" s="70">
        <f>H19*J19</f>
        <v>310.75199999999995</v>
      </c>
    </row>
    <row r="20" spans="1:12" ht="15">
      <c r="A20" s="139"/>
      <c r="B20" s="135"/>
      <c r="C20" s="134"/>
      <c r="D20" s="64" t="s">
        <v>49</v>
      </c>
      <c r="E20" s="65">
        <f>36*0.04</f>
        <v>1.44</v>
      </c>
      <c r="F20" s="66" t="s">
        <v>185</v>
      </c>
      <c r="G20" s="73">
        <v>1400</v>
      </c>
      <c r="H20" s="73">
        <f>E20*G20</f>
        <v>2016</v>
      </c>
      <c r="I20" s="67">
        <v>0.1</v>
      </c>
      <c r="J20" s="68">
        <v>0.005</v>
      </c>
      <c r="K20" s="70">
        <f>H20*I20</f>
        <v>201.60000000000002</v>
      </c>
      <c r="L20" s="70">
        <f>H20*J20</f>
        <v>10.08</v>
      </c>
    </row>
    <row r="21" spans="1:12" ht="15">
      <c r="A21" s="139"/>
      <c r="B21" s="135"/>
      <c r="C21" s="64" t="s">
        <v>7</v>
      </c>
      <c r="D21" s="64" t="s">
        <v>48</v>
      </c>
      <c r="E21" s="65">
        <f>36*0.01</f>
        <v>0.36</v>
      </c>
      <c r="F21" s="66" t="s">
        <v>185</v>
      </c>
      <c r="G21" s="65">
        <v>2500</v>
      </c>
      <c r="H21" s="73">
        <f>E21*G21</f>
        <v>900</v>
      </c>
      <c r="I21" s="67">
        <v>9</v>
      </c>
      <c r="J21" s="68">
        <v>0.59</v>
      </c>
      <c r="K21" s="69">
        <f>H21*I21</f>
        <v>8100</v>
      </c>
      <c r="L21" s="69">
        <f>H21*J21</f>
        <v>531</v>
      </c>
    </row>
    <row r="22" spans="1:12" ht="15">
      <c r="A22" s="74"/>
      <c r="B22" s="65"/>
      <c r="C22" s="64"/>
      <c r="D22" s="64"/>
      <c r="E22" s="65"/>
      <c r="F22" s="65"/>
      <c r="G22" s="65"/>
      <c r="H22" s="65"/>
      <c r="I22" s="67"/>
      <c r="J22" s="68"/>
      <c r="K22" s="75"/>
      <c r="L22" s="75"/>
    </row>
    <row r="23" spans="1:12" ht="15">
      <c r="A23" s="139">
        <v>4</v>
      </c>
      <c r="B23" s="135" t="s">
        <v>12</v>
      </c>
      <c r="C23" s="76" t="s">
        <v>4</v>
      </c>
      <c r="D23" s="76" t="s">
        <v>40</v>
      </c>
      <c r="E23" s="77">
        <f>70*124.15*(0.11*0.22*0.05)</f>
        <v>10.515505000000001</v>
      </c>
      <c r="F23" s="66" t="s">
        <v>185</v>
      </c>
      <c r="G23" s="67">
        <v>950</v>
      </c>
      <c r="H23" s="71">
        <f>E23*G23</f>
        <v>9989.72975</v>
      </c>
      <c r="I23" s="67">
        <v>3</v>
      </c>
      <c r="J23" s="78">
        <v>0.22</v>
      </c>
      <c r="K23" s="70">
        <f>H23*I23</f>
        <v>29969.189250000003</v>
      </c>
      <c r="L23" s="70">
        <f>H23*J23</f>
        <v>2197.740545</v>
      </c>
    </row>
    <row r="24" spans="1:12" ht="15">
      <c r="A24" s="139"/>
      <c r="B24" s="135"/>
      <c r="C24" s="134" t="s">
        <v>5</v>
      </c>
      <c r="D24" s="64" t="s">
        <v>41</v>
      </c>
      <c r="E24" s="71">
        <f>124.15*6.24</f>
        <v>774.696</v>
      </c>
      <c r="F24" s="71" t="s">
        <v>35</v>
      </c>
      <c r="G24" s="72" t="s">
        <v>24</v>
      </c>
      <c r="H24" s="71">
        <v>774.7</v>
      </c>
      <c r="I24" s="67">
        <v>4.6</v>
      </c>
      <c r="J24" s="68">
        <v>0.83</v>
      </c>
      <c r="K24" s="70">
        <f>H24*I24</f>
        <v>3563.62</v>
      </c>
      <c r="L24" s="69">
        <f>H24*J24</f>
        <v>643.001</v>
      </c>
    </row>
    <row r="25" spans="1:12" ht="15">
      <c r="A25" s="139"/>
      <c r="B25" s="135"/>
      <c r="C25" s="134"/>
      <c r="D25" s="64" t="s">
        <v>38</v>
      </c>
      <c r="E25" s="71">
        <f>124.15*0.024</f>
        <v>2.9796</v>
      </c>
      <c r="F25" s="66" t="s">
        <v>185</v>
      </c>
      <c r="G25" s="73">
        <v>1400</v>
      </c>
      <c r="H25" s="71">
        <f>E25*G25</f>
        <v>4171.44</v>
      </c>
      <c r="I25" s="67">
        <v>0.1</v>
      </c>
      <c r="J25" s="68">
        <v>0.005</v>
      </c>
      <c r="K25" s="70">
        <f>H25*I25</f>
        <v>417.144</v>
      </c>
      <c r="L25" s="70">
        <f>H25*J25</f>
        <v>20.8572</v>
      </c>
    </row>
    <row r="26" spans="1:12" ht="15">
      <c r="A26" s="139"/>
      <c r="B26" s="135"/>
      <c r="C26" s="79" t="s">
        <v>25</v>
      </c>
      <c r="D26" s="64" t="s">
        <v>42</v>
      </c>
      <c r="E26" s="71">
        <f>(124.15*2)/12</f>
        <v>20.691666666666666</v>
      </c>
      <c r="F26" s="71" t="s">
        <v>39</v>
      </c>
      <c r="G26" s="80">
        <v>1.5</v>
      </c>
      <c r="H26" s="71">
        <f>E26*G26</f>
        <v>31.0375</v>
      </c>
      <c r="I26" s="67">
        <v>20.4</v>
      </c>
      <c r="J26" s="68">
        <v>1.06</v>
      </c>
      <c r="K26" s="70">
        <f>H26*I26</f>
        <v>633.165</v>
      </c>
      <c r="L26" s="70">
        <f>H26*J26</f>
        <v>32.899750000000004</v>
      </c>
    </row>
    <row r="27" spans="1:12" ht="15">
      <c r="A27" s="74"/>
      <c r="B27" s="65"/>
      <c r="C27" s="64"/>
      <c r="D27" s="64"/>
      <c r="E27" s="65"/>
      <c r="F27" s="65"/>
      <c r="G27" s="65"/>
      <c r="H27" s="65"/>
      <c r="I27" s="67"/>
      <c r="J27" s="68"/>
      <c r="K27" s="75"/>
      <c r="L27" s="75"/>
    </row>
    <row r="28" spans="1:12" ht="15">
      <c r="A28" s="139">
        <v>5</v>
      </c>
      <c r="B28" s="135" t="s">
        <v>11</v>
      </c>
      <c r="C28" s="64" t="s">
        <v>17</v>
      </c>
      <c r="D28" s="64" t="s">
        <v>43</v>
      </c>
      <c r="E28" s="81">
        <v>1.379</v>
      </c>
      <c r="F28" s="66" t="s">
        <v>185</v>
      </c>
      <c r="G28" s="82">
        <v>705</v>
      </c>
      <c r="H28" s="71">
        <f aca="true" t="shared" si="2" ref="H28:H31">E28*G28</f>
        <v>972.195</v>
      </c>
      <c r="I28" s="67">
        <v>7.4</v>
      </c>
      <c r="J28" s="68">
        <v>0.45</v>
      </c>
      <c r="K28" s="70">
        <f>H28*I28</f>
        <v>7194.243</v>
      </c>
      <c r="L28" s="70">
        <f>H28*J28</f>
        <v>437.48775</v>
      </c>
    </row>
    <row r="29" spans="1:12" ht="15">
      <c r="A29" s="139"/>
      <c r="B29" s="135"/>
      <c r="C29" s="64" t="s">
        <v>178</v>
      </c>
      <c r="D29" s="64" t="s">
        <v>166</v>
      </c>
      <c r="E29" s="83">
        <f>36*0.0015</f>
        <v>0.054</v>
      </c>
      <c r="F29" s="66" t="s">
        <v>185</v>
      </c>
      <c r="G29" s="83">
        <v>7135</v>
      </c>
      <c r="H29" s="71">
        <f t="shared" si="2"/>
        <v>385.29</v>
      </c>
      <c r="I29" s="67">
        <v>61.9</v>
      </c>
      <c r="J29" s="68">
        <v>3.31</v>
      </c>
      <c r="K29" s="70">
        <f>H29*I29</f>
        <v>23849.451</v>
      </c>
      <c r="L29" s="70">
        <f>H29*J29</f>
        <v>1275.3099000000002</v>
      </c>
    </row>
    <row r="30" spans="1:12" ht="15">
      <c r="A30" s="139"/>
      <c r="B30" s="135"/>
      <c r="C30" s="64" t="s">
        <v>179</v>
      </c>
      <c r="D30" s="64" t="s">
        <v>43</v>
      </c>
      <c r="E30" s="81">
        <v>0.164</v>
      </c>
      <c r="F30" s="66" t="s">
        <v>185</v>
      </c>
      <c r="G30" s="82">
        <v>705</v>
      </c>
      <c r="H30" s="71">
        <f t="shared" si="2"/>
        <v>115.62</v>
      </c>
      <c r="I30" s="67">
        <v>7.4</v>
      </c>
      <c r="J30" s="68">
        <v>0.45</v>
      </c>
      <c r="K30" s="70">
        <f>H30*I30</f>
        <v>855.5880000000001</v>
      </c>
      <c r="L30" s="70">
        <f>H30*J30</f>
        <v>52.029</v>
      </c>
    </row>
    <row r="31" spans="1:12" ht="15">
      <c r="A31" s="139"/>
      <c r="B31" s="135"/>
      <c r="C31" s="64" t="s">
        <v>10</v>
      </c>
      <c r="D31" s="64" t="s">
        <v>45</v>
      </c>
      <c r="E31" s="81">
        <v>0.144</v>
      </c>
      <c r="F31" s="66" t="s">
        <v>185</v>
      </c>
      <c r="G31" s="82">
        <v>705</v>
      </c>
      <c r="H31" s="71">
        <f t="shared" si="2"/>
        <v>101.52</v>
      </c>
      <c r="I31" s="67">
        <v>15</v>
      </c>
      <c r="J31" s="68">
        <v>0.81</v>
      </c>
      <c r="K31" s="70">
        <f>H31*I31</f>
        <v>1522.8</v>
      </c>
      <c r="L31" s="70">
        <f>H31*J31</f>
        <v>82.2312</v>
      </c>
    </row>
    <row r="32" spans="1:12" ht="15">
      <c r="A32" s="74"/>
      <c r="B32" s="65"/>
      <c r="C32" s="64"/>
      <c r="D32" s="64"/>
      <c r="E32" s="65"/>
      <c r="F32" s="65"/>
      <c r="G32" s="65"/>
      <c r="H32" s="65"/>
      <c r="I32" s="67"/>
      <c r="J32" s="68"/>
      <c r="K32" s="75"/>
      <c r="L32" s="75"/>
    </row>
    <row r="33" spans="1:12" ht="15">
      <c r="A33" s="139">
        <v>6</v>
      </c>
      <c r="B33" s="135" t="s">
        <v>15</v>
      </c>
      <c r="C33" s="64" t="s">
        <v>177</v>
      </c>
      <c r="D33" s="64" t="s">
        <v>43</v>
      </c>
      <c r="E33" s="71">
        <v>0.249</v>
      </c>
      <c r="F33" s="66" t="s">
        <v>185</v>
      </c>
      <c r="G33" s="82">
        <v>705</v>
      </c>
      <c r="H33" s="73">
        <f aca="true" t="shared" si="3" ref="H33:H34">E33*G33</f>
        <v>175.545</v>
      </c>
      <c r="I33" s="67">
        <v>7.4</v>
      </c>
      <c r="J33" s="68">
        <v>0.45</v>
      </c>
      <c r="K33" s="70">
        <f aca="true" t="shared" si="4" ref="K33:K34">H33*I33</f>
        <v>1299.033</v>
      </c>
      <c r="L33" s="69">
        <f aca="true" t="shared" si="5" ref="L33:L34">H33*J33</f>
        <v>78.99525</v>
      </c>
    </row>
    <row r="34" spans="1:12" ht="15">
      <c r="A34" s="139"/>
      <c r="B34" s="135"/>
      <c r="C34" s="64" t="s">
        <v>46</v>
      </c>
      <c r="D34" s="64" t="s">
        <v>46</v>
      </c>
      <c r="E34" s="65">
        <v>0.27</v>
      </c>
      <c r="F34" s="66" t="s">
        <v>185</v>
      </c>
      <c r="G34" s="82">
        <v>705</v>
      </c>
      <c r="H34" s="73">
        <f t="shared" si="3"/>
        <v>190.35000000000002</v>
      </c>
      <c r="I34" s="67">
        <v>7.4</v>
      </c>
      <c r="J34" s="68">
        <v>0.45</v>
      </c>
      <c r="K34" s="70">
        <f t="shared" si="4"/>
        <v>1408.5900000000001</v>
      </c>
      <c r="L34" s="70">
        <f t="shared" si="5"/>
        <v>85.65750000000001</v>
      </c>
    </row>
    <row r="35" spans="1:12" ht="15.75" thickBot="1">
      <c r="A35" s="140"/>
      <c r="B35" s="143"/>
      <c r="C35" s="84" t="s">
        <v>9</v>
      </c>
      <c r="D35" s="84" t="s">
        <v>47</v>
      </c>
      <c r="E35" s="85">
        <f>8.6*0.0025</f>
        <v>0.0215</v>
      </c>
      <c r="F35" s="86" t="s">
        <v>185</v>
      </c>
      <c r="G35" s="85">
        <v>2579</v>
      </c>
      <c r="H35" s="87">
        <f>E35*G35</f>
        <v>55.448499999999996</v>
      </c>
      <c r="I35" s="88">
        <v>15</v>
      </c>
      <c r="J35" s="89">
        <v>0.85</v>
      </c>
      <c r="K35" s="90">
        <f>H35*I35</f>
        <v>831.7275</v>
      </c>
      <c r="L35" s="90">
        <f>H35*J35</f>
        <v>47.13122499999999</v>
      </c>
    </row>
    <row r="36" spans="1:12" ht="15.75" thickBot="1">
      <c r="A36" s="141" t="s">
        <v>29</v>
      </c>
      <c r="B36" s="142"/>
      <c r="C36" s="142"/>
      <c r="D36" s="142"/>
      <c r="E36" s="142"/>
      <c r="F36" s="142"/>
      <c r="G36" s="142"/>
      <c r="H36" s="142"/>
      <c r="I36" s="142"/>
      <c r="J36" s="142"/>
      <c r="K36" s="91">
        <f>SUM(K4:K35)</f>
        <v>127714.66199</v>
      </c>
      <c r="L36" s="91">
        <f>SUM(L4:L35)</f>
        <v>10257.4816124</v>
      </c>
    </row>
    <row r="37" spans="1:12" ht="15.75" thickBot="1">
      <c r="A37" s="136" t="s">
        <v>30</v>
      </c>
      <c r="B37" s="137"/>
      <c r="C37" s="137"/>
      <c r="D37" s="137"/>
      <c r="E37" s="137"/>
      <c r="F37" s="137"/>
      <c r="G37" s="137"/>
      <c r="H37" s="137"/>
      <c r="I37" s="137"/>
      <c r="J37" s="138"/>
      <c r="K37" s="96">
        <f>K36/36</f>
        <v>3547.629499722222</v>
      </c>
      <c r="L37" s="97">
        <f>L36/36</f>
        <v>284.9300447888889</v>
      </c>
    </row>
  </sheetData>
  <mergeCells count="29">
    <mergeCell ref="K2:L2"/>
    <mergeCell ref="B4:B6"/>
    <mergeCell ref="B19:B21"/>
    <mergeCell ref="B28:B31"/>
    <mergeCell ref="A2:A3"/>
    <mergeCell ref="B2:B3"/>
    <mergeCell ref="C2:C3"/>
    <mergeCell ref="D2:D3"/>
    <mergeCell ref="E2:E3"/>
    <mergeCell ref="I2:J2"/>
    <mergeCell ref="G2:G3"/>
    <mergeCell ref="H2:H3"/>
    <mergeCell ref="B8:B17"/>
    <mergeCell ref="C8:C12"/>
    <mergeCell ref="C13:C17"/>
    <mergeCell ref="F2:F3"/>
    <mergeCell ref="C4:C6"/>
    <mergeCell ref="C19:C20"/>
    <mergeCell ref="B23:B26"/>
    <mergeCell ref="A37:J37"/>
    <mergeCell ref="A4:A6"/>
    <mergeCell ref="A8:A17"/>
    <mergeCell ref="A19:A21"/>
    <mergeCell ref="A23:A26"/>
    <mergeCell ref="A28:A31"/>
    <mergeCell ref="A33:A35"/>
    <mergeCell ref="A36:J36"/>
    <mergeCell ref="C24:C25"/>
    <mergeCell ref="B33:B3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37"/>
  <sheetViews>
    <sheetView workbookViewId="0" topLeftCell="C22">
      <selection activeCell="H10" sqref="H10"/>
    </sheetView>
  </sheetViews>
  <sheetFormatPr defaultColWidth="9.140625" defaultRowHeight="15"/>
  <cols>
    <col min="3" max="3" width="15.7109375" style="0" bestFit="1" customWidth="1"/>
    <col min="4" max="4" width="20.140625" style="0" bestFit="1" customWidth="1"/>
    <col min="5" max="5" width="18.421875" style="0" bestFit="1" customWidth="1"/>
    <col min="8" max="8" width="16.28125" style="0" bestFit="1" customWidth="1"/>
    <col min="9" max="9" width="12.28125" style="0" bestFit="1" customWidth="1"/>
    <col min="10" max="10" width="16.57421875" style="0" bestFit="1" customWidth="1"/>
    <col min="11" max="11" width="20.00390625" style="0" bestFit="1" customWidth="1"/>
    <col min="12" max="12" width="17.00390625" style="0" bestFit="1" customWidth="1"/>
    <col min="13" max="13" width="16.57421875" style="0" bestFit="1" customWidth="1"/>
  </cols>
  <sheetData>
    <row r="2" spans="2:13" ht="15">
      <c r="B2" s="167" t="s">
        <v>31</v>
      </c>
      <c r="C2" s="167" t="s">
        <v>26</v>
      </c>
      <c r="D2" s="167" t="s">
        <v>32</v>
      </c>
      <c r="E2" s="167" t="s">
        <v>0</v>
      </c>
      <c r="F2" s="167" t="s">
        <v>1</v>
      </c>
      <c r="G2" s="167" t="s">
        <v>33</v>
      </c>
      <c r="H2" s="161" t="s">
        <v>53</v>
      </c>
      <c r="I2" s="161" t="s">
        <v>23</v>
      </c>
      <c r="J2" s="154" t="s">
        <v>2</v>
      </c>
      <c r="K2" s="155"/>
      <c r="L2" s="154" t="s">
        <v>3</v>
      </c>
      <c r="M2" s="155"/>
    </row>
    <row r="3" spans="2:13" ht="18">
      <c r="B3" s="168"/>
      <c r="C3" s="168"/>
      <c r="D3" s="168"/>
      <c r="E3" s="168"/>
      <c r="F3" s="168"/>
      <c r="G3" s="168"/>
      <c r="H3" s="162"/>
      <c r="I3" s="162"/>
      <c r="J3" s="7" t="s">
        <v>27</v>
      </c>
      <c r="K3" s="26" t="s">
        <v>54</v>
      </c>
      <c r="L3" s="7" t="s">
        <v>28</v>
      </c>
      <c r="M3" s="26" t="s">
        <v>55</v>
      </c>
    </row>
    <row r="4" spans="2:13" ht="17.25">
      <c r="B4" s="160">
        <v>1</v>
      </c>
      <c r="C4" s="156" t="s">
        <v>14</v>
      </c>
      <c r="D4" s="156" t="s">
        <v>22</v>
      </c>
      <c r="E4" s="32" t="s">
        <v>36</v>
      </c>
      <c r="F4" s="33" t="s">
        <v>70</v>
      </c>
      <c r="G4" s="25" t="s">
        <v>34</v>
      </c>
      <c r="H4" s="34">
        <v>1.45</v>
      </c>
      <c r="I4" s="33">
        <v>15.254</v>
      </c>
      <c r="J4" s="33">
        <v>1</v>
      </c>
      <c r="K4" s="33" t="s">
        <v>101</v>
      </c>
      <c r="L4" s="33">
        <v>15.254</v>
      </c>
      <c r="M4" s="28" t="s">
        <v>117</v>
      </c>
    </row>
    <row r="5" spans="2:13" ht="15">
      <c r="B5" s="158"/>
      <c r="C5" s="157"/>
      <c r="D5" s="157"/>
      <c r="E5" s="35" t="s">
        <v>37</v>
      </c>
      <c r="F5" s="2" t="s">
        <v>56</v>
      </c>
      <c r="G5" s="2" t="s">
        <v>35</v>
      </c>
      <c r="H5" s="2" t="s">
        <v>24</v>
      </c>
      <c r="I5" s="2" t="s">
        <v>56</v>
      </c>
      <c r="J5" s="2" t="s">
        <v>97</v>
      </c>
      <c r="K5" s="2" t="s">
        <v>102</v>
      </c>
      <c r="L5" s="2" t="s">
        <v>115</v>
      </c>
      <c r="M5" s="18" t="s">
        <v>118</v>
      </c>
    </row>
    <row r="6" spans="2:13" ht="17.25">
      <c r="B6" s="158"/>
      <c r="C6" s="157"/>
      <c r="D6" s="157"/>
      <c r="E6" s="35" t="s">
        <v>38</v>
      </c>
      <c r="F6" s="2" t="s">
        <v>57</v>
      </c>
      <c r="G6" s="25" t="s">
        <v>34</v>
      </c>
      <c r="H6" s="36">
        <v>1.4</v>
      </c>
      <c r="I6" s="2">
        <v>6.958</v>
      </c>
      <c r="J6" s="2" t="s">
        <v>98</v>
      </c>
      <c r="K6" s="2" t="s">
        <v>103</v>
      </c>
      <c r="L6" s="2" t="s">
        <v>116</v>
      </c>
      <c r="M6" s="18" t="s">
        <v>119</v>
      </c>
    </row>
    <row r="7" spans="2:13" ht="15">
      <c r="B7" s="29"/>
      <c r="C7" s="2"/>
      <c r="D7" s="2"/>
      <c r="E7" s="35"/>
      <c r="F7" s="2"/>
      <c r="G7" s="2"/>
      <c r="H7" s="2"/>
      <c r="I7" s="2"/>
      <c r="J7" s="2"/>
      <c r="K7" s="2"/>
      <c r="L7" s="2"/>
      <c r="M7" s="18"/>
    </row>
    <row r="8" spans="2:13" ht="15">
      <c r="B8" s="158">
        <v>2</v>
      </c>
      <c r="C8" s="159" t="s">
        <v>21</v>
      </c>
      <c r="D8" s="157" t="s">
        <v>19</v>
      </c>
      <c r="E8" s="35" t="s">
        <v>41</v>
      </c>
      <c r="F8" s="2" t="s">
        <v>58</v>
      </c>
      <c r="G8" s="2" t="s">
        <v>35</v>
      </c>
      <c r="H8" s="2" t="s">
        <v>24</v>
      </c>
      <c r="I8" s="2" t="s">
        <v>58</v>
      </c>
      <c r="J8" s="2" t="s">
        <v>97</v>
      </c>
      <c r="K8" s="2" t="s">
        <v>102</v>
      </c>
      <c r="L8" s="2" t="s">
        <v>120</v>
      </c>
      <c r="M8" s="18" t="s">
        <v>124</v>
      </c>
    </row>
    <row r="9" spans="2:13" ht="17.25">
      <c r="B9" s="158"/>
      <c r="C9" s="159"/>
      <c r="D9" s="157"/>
      <c r="E9" s="35" t="s">
        <v>49</v>
      </c>
      <c r="F9" s="2" t="s">
        <v>59</v>
      </c>
      <c r="G9" s="25" t="s">
        <v>34</v>
      </c>
      <c r="H9" s="36">
        <v>1.4</v>
      </c>
      <c r="I9" s="2" t="s">
        <v>83</v>
      </c>
      <c r="J9" s="2" t="s">
        <v>98</v>
      </c>
      <c r="K9" s="2" t="s">
        <v>103</v>
      </c>
      <c r="L9" s="2" t="s">
        <v>121</v>
      </c>
      <c r="M9" s="18" t="s">
        <v>125</v>
      </c>
    </row>
    <row r="10" spans="2:13" ht="17.25">
      <c r="B10" s="158"/>
      <c r="C10" s="159"/>
      <c r="D10" s="157"/>
      <c r="E10" s="35" t="s">
        <v>50</v>
      </c>
      <c r="F10" s="2" t="s">
        <v>60</v>
      </c>
      <c r="G10" s="25" t="s">
        <v>34</v>
      </c>
      <c r="H10" s="36">
        <v>1.8</v>
      </c>
      <c r="I10" s="2" t="s">
        <v>84</v>
      </c>
      <c r="J10" s="2" t="s">
        <v>99</v>
      </c>
      <c r="K10" s="2" t="s">
        <v>104</v>
      </c>
      <c r="L10" s="2" t="s">
        <v>122</v>
      </c>
      <c r="M10" s="18" t="s">
        <v>126</v>
      </c>
    </row>
    <row r="11" spans="2:13" ht="15">
      <c r="B11" s="158"/>
      <c r="C11" s="159"/>
      <c r="D11" s="157"/>
      <c r="E11" s="35" t="s">
        <v>51</v>
      </c>
      <c r="F11" s="2" t="s">
        <v>61</v>
      </c>
      <c r="G11" s="2" t="s">
        <v>35</v>
      </c>
      <c r="H11" s="2" t="s">
        <v>24</v>
      </c>
      <c r="I11" s="2" t="s">
        <v>61</v>
      </c>
      <c r="J11" s="2" t="s">
        <v>100</v>
      </c>
      <c r="K11" s="2" t="s">
        <v>60</v>
      </c>
      <c r="L11" s="2" t="s">
        <v>123</v>
      </c>
      <c r="M11" s="18" t="s">
        <v>127</v>
      </c>
    </row>
    <row r="12" spans="2:13" ht="17.25">
      <c r="B12" s="158"/>
      <c r="C12" s="159"/>
      <c r="D12" s="157"/>
      <c r="E12" s="35" t="s">
        <v>52</v>
      </c>
      <c r="F12" s="2" t="s">
        <v>62</v>
      </c>
      <c r="G12" s="25" t="s">
        <v>34</v>
      </c>
      <c r="H12" s="2">
        <v>705</v>
      </c>
      <c r="I12" s="2" t="s">
        <v>85</v>
      </c>
      <c r="J12" s="2" t="s">
        <v>109</v>
      </c>
      <c r="K12" s="2" t="s">
        <v>111</v>
      </c>
      <c r="L12" s="2" t="s">
        <v>160</v>
      </c>
      <c r="M12" s="18" t="s">
        <v>161</v>
      </c>
    </row>
    <row r="13" spans="2:13" ht="15">
      <c r="B13" s="158"/>
      <c r="C13" s="159"/>
      <c r="D13" s="157" t="s">
        <v>20</v>
      </c>
      <c r="E13" s="35" t="s">
        <v>41</v>
      </c>
      <c r="F13" s="2" t="s">
        <v>63</v>
      </c>
      <c r="G13" s="2" t="s">
        <v>35</v>
      </c>
      <c r="H13" s="2" t="s">
        <v>24</v>
      </c>
      <c r="I13" s="2" t="s">
        <v>63</v>
      </c>
      <c r="J13" s="2" t="s">
        <v>97</v>
      </c>
      <c r="K13" s="2" t="s">
        <v>102</v>
      </c>
      <c r="L13" s="2" t="s">
        <v>153</v>
      </c>
      <c r="M13" s="18" t="s">
        <v>128</v>
      </c>
    </row>
    <row r="14" spans="2:13" ht="17.25">
      <c r="B14" s="158"/>
      <c r="C14" s="159"/>
      <c r="D14" s="157"/>
      <c r="E14" s="35" t="s">
        <v>49</v>
      </c>
      <c r="F14" s="37" t="s">
        <v>64</v>
      </c>
      <c r="G14" s="25" t="s">
        <v>34</v>
      </c>
      <c r="H14" s="36">
        <v>1.4</v>
      </c>
      <c r="I14" s="2" t="s">
        <v>86</v>
      </c>
      <c r="J14" s="2" t="s">
        <v>98</v>
      </c>
      <c r="K14" s="2" t="s">
        <v>103</v>
      </c>
      <c r="L14" s="2" t="s">
        <v>154</v>
      </c>
      <c r="M14" s="18" t="s">
        <v>129</v>
      </c>
    </row>
    <row r="15" spans="2:13" ht="17.25">
      <c r="B15" s="158"/>
      <c r="C15" s="159"/>
      <c r="D15" s="157"/>
      <c r="E15" s="35" t="s">
        <v>50</v>
      </c>
      <c r="F15" s="2" t="s">
        <v>65</v>
      </c>
      <c r="G15" s="25" t="s">
        <v>34</v>
      </c>
      <c r="H15" s="36">
        <v>1.8</v>
      </c>
      <c r="I15" s="2" t="s">
        <v>87</v>
      </c>
      <c r="J15" s="2" t="s">
        <v>99</v>
      </c>
      <c r="K15" s="2" t="s">
        <v>104</v>
      </c>
      <c r="L15" s="2" t="s">
        <v>155</v>
      </c>
      <c r="M15" s="18" t="s">
        <v>130</v>
      </c>
    </row>
    <row r="16" spans="2:13" ht="15">
      <c r="B16" s="158"/>
      <c r="C16" s="159"/>
      <c r="D16" s="157"/>
      <c r="E16" s="35" t="s">
        <v>51</v>
      </c>
      <c r="F16" s="2" t="s">
        <v>81</v>
      </c>
      <c r="G16" s="2" t="s">
        <v>35</v>
      </c>
      <c r="H16" s="2" t="s">
        <v>24</v>
      </c>
      <c r="I16" s="2" t="s">
        <v>81</v>
      </c>
      <c r="J16" s="2" t="s">
        <v>100</v>
      </c>
      <c r="K16" s="2" t="s">
        <v>60</v>
      </c>
      <c r="L16" s="2" t="s">
        <v>156</v>
      </c>
      <c r="M16" s="18" t="s">
        <v>131</v>
      </c>
    </row>
    <row r="17" spans="2:13" ht="17.25">
      <c r="B17" s="158"/>
      <c r="C17" s="159"/>
      <c r="D17" s="157"/>
      <c r="E17" s="35" t="s">
        <v>52</v>
      </c>
      <c r="F17" s="2" t="s">
        <v>66</v>
      </c>
      <c r="G17" s="25" t="s">
        <v>34</v>
      </c>
      <c r="H17" s="2">
        <v>705</v>
      </c>
      <c r="I17" s="2" t="s">
        <v>88</v>
      </c>
      <c r="J17" s="2" t="s">
        <v>109</v>
      </c>
      <c r="K17" s="2" t="s">
        <v>111</v>
      </c>
      <c r="L17" s="2" t="s">
        <v>158</v>
      </c>
      <c r="M17" s="18" t="s">
        <v>159</v>
      </c>
    </row>
    <row r="18" spans="2:13" ht="15">
      <c r="B18" s="29"/>
      <c r="C18" s="2"/>
      <c r="D18" s="2"/>
      <c r="E18" s="35"/>
      <c r="F18" s="2"/>
      <c r="G18" s="2"/>
      <c r="H18" s="2"/>
      <c r="I18" s="2"/>
      <c r="J18" s="2"/>
      <c r="K18" s="2"/>
      <c r="L18" s="2"/>
      <c r="M18" s="18"/>
    </row>
    <row r="19" spans="2:13" ht="15">
      <c r="B19" s="158">
        <v>3</v>
      </c>
      <c r="C19" s="157" t="s">
        <v>13</v>
      </c>
      <c r="D19" s="157" t="s">
        <v>143</v>
      </c>
      <c r="E19" s="35" t="s">
        <v>41</v>
      </c>
      <c r="F19" s="2" t="s">
        <v>67</v>
      </c>
      <c r="G19" s="2" t="s">
        <v>35</v>
      </c>
      <c r="H19" s="2" t="s">
        <v>24</v>
      </c>
      <c r="I19" s="2" t="s">
        <v>67</v>
      </c>
      <c r="J19" s="2" t="s">
        <v>97</v>
      </c>
      <c r="K19" s="2" t="s">
        <v>102</v>
      </c>
      <c r="L19" s="2" t="s">
        <v>157</v>
      </c>
      <c r="M19" s="18" t="s">
        <v>132</v>
      </c>
    </row>
    <row r="20" spans="2:13" ht="17.25">
      <c r="B20" s="158"/>
      <c r="C20" s="157"/>
      <c r="D20" s="157"/>
      <c r="E20" s="35" t="s">
        <v>49</v>
      </c>
      <c r="F20" s="2" t="s">
        <v>68</v>
      </c>
      <c r="G20" s="25" t="s">
        <v>34</v>
      </c>
      <c r="H20" s="36">
        <v>1.4</v>
      </c>
      <c r="I20" s="2">
        <v>2.016</v>
      </c>
      <c r="J20" s="2" t="s">
        <v>98</v>
      </c>
      <c r="K20" s="2" t="s">
        <v>103</v>
      </c>
      <c r="L20" s="2">
        <v>201.60000000000002</v>
      </c>
      <c r="M20" s="18" t="s">
        <v>133</v>
      </c>
    </row>
    <row r="21" spans="2:13" ht="17.25">
      <c r="B21" s="158"/>
      <c r="C21" s="157"/>
      <c r="D21" s="2" t="s">
        <v>7</v>
      </c>
      <c r="E21" s="35" t="s">
        <v>48</v>
      </c>
      <c r="F21" s="2" t="s">
        <v>69</v>
      </c>
      <c r="G21" s="25" t="s">
        <v>34</v>
      </c>
      <c r="H21" s="10">
        <v>2.5</v>
      </c>
      <c r="I21" s="2">
        <v>900</v>
      </c>
      <c r="J21" s="2">
        <v>9</v>
      </c>
      <c r="K21" s="2" t="s">
        <v>105</v>
      </c>
      <c r="L21" s="10">
        <v>8.1</v>
      </c>
      <c r="M21" s="18">
        <v>531</v>
      </c>
    </row>
    <row r="22" spans="2:13" ht="15">
      <c r="B22" s="29"/>
      <c r="C22" s="2"/>
      <c r="D22" s="2"/>
      <c r="E22" s="35"/>
      <c r="F22" s="2"/>
      <c r="G22" s="2"/>
      <c r="H22" s="2"/>
      <c r="I22" s="2"/>
      <c r="J22" s="2"/>
      <c r="K22" s="2"/>
      <c r="L22" s="2"/>
      <c r="M22" s="18"/>
    </row>
    <row r="23" spans="2:13" ht="17.25">
      <c r="B23" s="158">
        <v>4</v>
      </c>
      <c r="C23" s="157" t="s">
        <v>12</v>
      </c>
      <c r="D23" s="2" t="s">
        <v>4</v>
      </c>
      <c r="E23" s="35" t="s">
        <v>40</v>
      </c>
      <c r="F23" s="2" t="s">
        <v>70</v>
      </c>
      <c r="G23" s="25" t="s">
        <v>34</v>
      </c>
      <c r="H23" s="2">
        <v>950</v>
      </c>
      <c r="I23" s="2" t="s">
        <v>168</v>
      </c>
      <c r="J23" s="2">
        <v>3</v>
      </c>
      <c r="K23" s="2" t="s">
        <v>107</v>
      </c>
      <c r="L23" s="2" t="s">
        <v>169</v>
      </c>
      <c r="M23" s="18" t="s">
        <v>170</v>
      </c>
    </row>
    <row r="24" spans="2:13" ht="15">
      <c r="B24" s="158"/>
      <c r="C24" s="157"/>
      <c r="D24" s="157" t="s">
        <v>5</v>
      </c>
      <c r="E24" s="35" t="s">
        <v>41</v>
      </c>
      <c r="F24" s="2" t="s">
        <v>80</v>
      </c>
      <c r="G24" s="2" t="s">
        <v>35</v>
      </c>
      <c r="H24" s="2" t="s">
        <v>24</v>
      </c>
      <c r="I24" s="2" t="s">
        <v>80</v>
      </c>
      <c r="J24" s="2" t="s">
        <v>97</v>
      </c>
      <c r="K24" s="2" t="s">
        <v>102</v>
      </c>
      <c r="L24" s="2" t="s">
        <v>144</v>
      </c>
      <c r="M24" s="18">
        <v>643</v>
      </c>
    </row>
    <row r="25" spans="2:13" ht="17.25">
      <c r="B25" s="158"/>
      <c r="C25" s="157"/>
      <c r="D25" s="157"/>
      <c r="E25" s="35" t="s">
        <v>38</v>
      </c>
      <c r="F25" s="2" t="s">
        <v>71</v>
      </c>
      <c r="G25" s="25" t="s">
        <v>34</v>
      </c>
      <c r="H25" s="36">
        <v>1.4</v>
      </c>
      <c r="I25" s="2" t="s">
        <v>89</v>
      </c>
      <c r="J25" s="2" t="s">
        <v>98</v>
      </c>
      <c r="K25" s="2" t="s">
        <v>103</v>
      </c>
      <c r="L25" s="2" t="s">
        <v>145</v>
      </c>
      <c r="M25" s="18" t="s">
        <v>134</v>
      </c>
    </row>
    <row r="26" spans="2:13" ht="15">
      <c r="B26" s="158"/>
      <c r="C26" s="157"/>
      <c r="D26" s="2" t="s">
        <v>25</v>
      </c>
      <c r="E26" s="35" t="s">
        <v>42</v>
      </c>
      <c r="F26" s="2" t="s">
        <v>72</v>
      </c>
      <c r="G26" s="2" t="s">
        <v>39</v>
      </c>
      <c r="H26" s="2" t="s">
        <v>82</v>
      </c>
      <c r="I26" s="2" t="s">
        <v>90</v>
      </c>
      <c r="J26" s="2" t="s">
        <v>106</v>
      </c>
      <c r="K26" s="2" t="s">
        <v>108</v>
      </c>
      <c r="L26" s="2" t="s">
        <v>146</v>
      </c>
      <c r="M26" s="18" t="s">
        <v>135</v>
      </c>
    </row>
    <row r="27" spans="2:13" ht="15">
      <c r="B27" s="29"/>
      <c r="C27" s="2"/>
      <c r="D27" s="2"/>
      <c r="E27" s="35"/>
      <c r="F27" s="2"/>
      <c r="G27" s="2"/>
      <c r="H27" s="2"/>
      <c r="I27" s="2"/>
      <c r="J27" s="2"/>
      <c r="K27" s="2"/>
      <c r="L27" s="2"/>
      <c r="M27" s="18"/>
    </row>
    <row r="28" spans="2:13" ht="17.25">
      <c r="B28" s="158">
        <v>5</v>
      </c>
      <c r="C28" s="157" t="s">
        <v>11</v>
      </c>
      <c r="D28" s="2" t="s">
        <v>17</v>
      </c>
      <c r="E28" s="35" t="s">
        <v>43</v>
      </c>
      <c r="F28" s="2" t="s">
        <v>73</v>
      </c>
      <c r="G28" s="25" t="s">
        <v>34</v>
      </c>
      <c r="H28" s="2">
        <v>705</v>
      </c>
      <c r="I28" s="37" t="s">
        <v>95</v>
      </c>
      <c r="J28" s="2" t="s">
        <v>109</v>
      </c>
      <c r="K28" s="2" t="s">
        <v>111</v>
      </c>
      <c r="L28" s="2" t="s">
        <v>147</v>
      </c>
      <c r="M28" s="18" t="s">
        <v>136</v>
      </c>
    </row>
    <row r="29" spans="2:13" ht="17.25">
      <c r="B29" s="158"/>
      <c r="C29" s="157"/>
      <c r="D29" s="2" t="s">
        <v>16</v>
      </c>
      <c r="E29" s="35" t="s">
        <v>166</v>
      </c>
      <c r="F29" s="2" t="s">
        <v>74</v>
      </c>
      <c r="G29" s="25" t="s">
        <v>34</v>
      </c>
      <c r="H29" s="2">
        <v>7.135</v>
      </c>
      <c r="I29" s="2" t="s">
        <v>91</v>
      </c>
      <c r="J29" s="2" t="s">
        <v>110</v>
      </c>
      <c r="K29" s="2" t="s">
        <v>112</v>
      </c>
      <c r="L29" s="2" t="s">
        <v>148</v>
      </c>
      <c r="M29" s="18" t="s">
        <v>137</v>
      </c>
    </row>
    <row r="30" spans="2:13" ht="17.25">
      <c r="B30" s="158"/>
      <c r="C30" s="157"/>
      <c r="D30" s="2" t="s">
        <v>8</v>
      </c>
      <c r="E30" s="35" t="s">
        <v>43</v>
      </c>
      <c r="F30" s="2" t="s">
        <v>75</v>
      </c>
      <c r="G30" s="25" t="s">
        <v>34</v>
      </c>
      <c r="H30" s="2">
        <v>705</v>
      </c>
      <c r="I30" s="2" t="s">
        <v>92</v>
      </c>
      <c r="J30" s="2" t="s">
        <v>109</v>
      </c>
      <c r="K30" s="2" t="s">
        <v>111</v>
      </c>
      <c r="L30" s="2" t="s">
        <v>149</v>
      </c>
      <c r="M30" s="18" t="s">
        <v>138</v>
      </c>
    </row>
    <row r="31" spans="2:13" ht="17.25">
      <c r="B31" s="158"/>
      <c r="C31" s="157"/>
      <c r="D31" s="2" t="s">
        <v>10</v>
      </c>
      <c r="E31" s="35" t="s">
        <v>45</v>
      </c>
      <c r="F31" s="2" t="s">
        <v>76</v>
      </c>
      <c r="G31" s="25" t="s">
        <v>34</v>
      </c>
      <c r="H31" s="2">
        <v>705</v>
      </c>
      <c r="I31" s="2" t="s">
        <v>93</v>
      </c>
      <c r="J31" s="2">
        <v>15</v>
      </c>
      <c r="K31" s="2" t="s">
        <v>113</v>
      </c>
      <c r="L31" s="2" t="s">
        <v>150</v>
      </c>
      <c r="M31" s="18" t="s">
        <v>139</v>
      </c>
    </row>
    <row r="32" spans="2:13" ht="15">
      <c r="B32" s="29"/>
      <c r="C32" s="2"/>
      <c r="D32" s="2"/>
      <c r="E32" s="35"/>
      <c r="F32" s="2"/>
      <c r="G32" s="2"/>
      <c r="H32" s="2"/>
      <c r="I32" s="2"/>
      <c r="J32" s="2"/>
      <c r="K32" s="2"/>
      <c r="L32" s="2"/>
      <c r="M32" s="18"/>
    </row>
    <row r="33" spans="2:13" ht="17.25">
      <c r="B33" s="158">
        <v>6</v>
      </c>
      <c r="C33" s="157" t="s">
        <v>15</v>
      </c>
      <c r="D33" s="2" t="s">
        <v>6</v>
      </c>
      <c r="E33" s="35" t="s">
        <v>43</v>
      </c>
      <c r="F33" s="2" t="s">
        <v>77</v>
      </c>
      <c r="G33" s="25" t="s">
        <v>34</v>
      </c>
      <c r="H33" s="2">
        <v>705</v>
      </c>
      <c r="I33" s="2" t="s">
        <v>94</v>
      </c>
      <c r="J33" s="2" t="s">
        <v>109</v>
      </c>
      <c r="K33" s="2" t="s">
        <v>111</v>
      </c>
      <c r="L33" s="2" t="s">
        <v>151</v>
      </c>
      <c r="M33" s="18">
        <v>79</v>
      </c>
    </row>
    <row r="34" spans="2:13" ht="17.25">
      <c r="B34" s="158"/>
      <c r="C34" s="157"/>
      <c r="D34" s="2" t="s">
        <v>18</v>
      </c>
      <c r="E34" s="35" t="s">
        <v>46</v>
      </c>
      <c r="F34" s="2" t="s">
        <v>78</v>
      </c>
      <c r="G34" s="25" t="s">
        <v>34</v>
      </c>
      <c r="H34" s="2">
        <v>705</v>
      </c>
      <c r="I34" s="2">
        <v>190.35000000000002</v>
      </c>
      <c r="J34" s="2" t="s">
        <v>109</v>
      </c>
      <c r="K34" s="2" t="s">
        <v>111</v>
      </c>
      <c r="L34" s="2" t="s">
        <v>152</v>
      </c>
      <c r="M34" s="18" t="s">
        <v>140</v>
      </c>
    </row>
    <row r="35" spans="2:13" ht="17.25">
      <c r="B35" s="158"/>
      <c r="C35" s="169"/>
      <c r="D35" s="38" t="s">
        <v>9</v>
      </c>
      <c r="E35" s="39" t="s">
        <v>47</v>
      </c>
      <c r="F35" s="38" t="s">
        <v>79</v>
      </c>
      <c r="G35" s="25" t="s">
        <v>34</v>
      </c>
      <c r="H35" s="38">
        <v>2.579</v>
      </c>
      <c r="I35" s="38" t="s">
        <v>96</v>
      </c>
      <c r="J35" s="38">
        <v>15</v>
      </c>
      <c r="K35" s="38" t="s">
        <v>114</v>
      </c>
      <c r="L35" s="38" t="s">
        <v>142</v>
      </c>
      <c r="M35" s="18" t="s">
        <v>141</v>
      </c>
    </row>
    <row r="36" spans="2:13" ht="15">
      <c r="B36" s="163" t="s">
        <v>29</v>
      </c>
      <c r="C36" s="164"/>
      <c r="D36" s="164"/>
      <c r="E36" s="164"/>
      <c r="F36" s="164"/>
      <c r="G36" s="164"/>
      <c r="H36" s="164"/>
      <c r="I36" s="164"/>
      <c r="J36" s="164"/>
      <c r="K36" s="164"/>
      <c r="L36" s="40" t="s">
        <v>171</v>
      </c>
      <c r="M36" s="31" t="s">
        <v>173</v>
      </c>
    </row>
    <row r="37" spans="2:13" ht="15">
      <c r="B37" s="165" t="s">
        <v>30</v>
      </c>
      <c r="C37" s="166"/>
      <c r="D37" s="166"/>
      <c r="E37" s="166"/>
      <c r="F37" s="166"/>
      <c r="G37" s="166"/>
      <c r="H37" s="166"/>
      <c r="I37" s="166"/>
      <c r="J37" s="166"/>
      <c r="K37" s="166"/>
      <c r="L37" s="38" t="s">
        <v>172</v>
      </c>
      <c r="M37" s="30" t="s">
        <v>174</v>
      </c>
    </row>
  </sheetData>
  <mergeCells count="29">
    <mergeCell ref="H2:H3"/>
    <mergeCell ref="B36:K36"/>
    <mergeCell ref="B37:K37"/>
    <mergeCell ref="B2:B3"/>
    <mergeCell ref="C2:C3"/>
    <mergeCell ref="D2:D3"/>
    <mergeCell ref="E2:E3"/>
    <mergeCell ref="F2:F3"/>
    <mergeCell ref="G2:G3"/>
    <mergeCell ref="I2:I3"/>
    <mergeCell ref="J2:K2"/>
    <mergeCell ref="C33:C35"/>
    <mergeCell ref="B33:B35"/>
    <mergeCell ref="L2:M2"/>
    <mergeCell ref="D4:D6"/>
    <mergeCell ref="C4:C6"/>
    <mergeCell ref="C28:C31"/>
    <mergeCell ref="B28:B31"/>
    <mergeCell ref="D8:D12"/>
    <mergeCell ref="D13:D17"/>
    <mergeCell ref="D19:D20"/>
    <mergeCell ref="D24:D25"/>
    <mergeCell ref="C8:C17"/>
    <mergeCell ref="B8:B17"/>
    <mergeCell ref="C19:C21"/>
    <mergeCell ref="B19:B21"/>
    <mergeCell ref="B23:B26"/>
    <mergeCell ref="C23:C26"/>
    <mergeCell ref="B4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37"/>
  <sheetViews>
    <sheetView tabSelected="1" workbookViewId="0" topLeftCell="A1">
      <selection activeCell="V48" sqref="V48"/>
    </sheetView>
  </sheetViews>
  <sheetFormatPr defaultColWidth="9.140625" defaultRowHeight="15"/>
  <cols>
    <col min="1" max="1" width="15.7109375" style="0" bestFit="1" customWidth="1"/>
    <col min="2" max="2" width="20.140625" style="0" bestFit="1" customWidth="1"/>
    <col min="3" max="3" width="18.421875" style="0" bestFit="1" customWidth="1"/>
    <col min="4" max="5" width="8.8515625" style="4" hidden="1" customWidth="1"/>
    <col min="6" max="7" width="10.140625" style="4" hidden="1" customWidth="1"/>
    <col min="8" max="8" width="16.00390625" style="4" hidden="1" customWidth="1"/>
    <col min="9" max="9" width="20.28125" style="4" hidden="1" customWidth="1"/>
    <col min="10" max="10" width="13.140625" style="0" bestFit="1" customWidth="1"/>
    <col min="11" max="11" width="16.7109375" style="0" bestFit="1" customWidth="1"/>
    <col min="12" max="12" width="3.57421875" style="0" customWidth="1"/>
    <col min="13" max="13" width="15.140625" style="0" bestFit="1" customWidth="1"/>
    <col min="14" max="14" width="11.57421875" style="0" bestFit="1" customWidth="1"/>
    <col min="15" max="15" width="10.57421875" style="0" bestFit="1" customWidth="1"/>
  </cols>
  <sheetData>
    <row r="2" spans="1:11" ht="15" customHeight="1">
      <c r="A2" s="167" t="s">
        <v>26</v>
      </c>
      <c r="B2" s="167" t="s">
        <v>32</v>
      </c>
      <c r="C2" s="167" t="s">
        <v>0</v>
      </c>
      <c r="D2" s="167" t="s">
        <v>1</v>
      </c>
      <c r="E2" s="167" t="s">
        <v>33</v>
      </c>
      <c r="F2" s="172" t="s">
        <v>53</v>
      </c>
      <c r="G2" s="161" t="s">
        <v>23</v>
      </c>
      <c r="H2" s="154" t="s">
        <v>2</v>
      </c>
      <c r="I2" s="155"/>
      <c r="J2" s="154" t="s">
        <v>3</v>
      </c>
      <c r="K2" s="155"/>
    </row>
    <row r="3" spans="1:15" ht="18">
      <c r="A3" s="168"/>
      <c r="B3" s="168"/>
      <c r="C3" s="168"/>
      <c r="D3" s="168"/>
      <c r="E3" s="168"/>
      <c r="F3" s="172"/>
      <c r="G3" s="162"/>
      <c r="H3" s="7" t="s">
        <v>27</v>
      </c>
      <c r="I3" s="27" t="s">
        <v>54</v>
      </c>
      <c r="J3" s="7" t="s">
        <v>28</v>
      </c>
      <c r="K3" s="27" t="s">
        <v>55</v>
      </c>
      <c r="M3" s="60" t="s">
        <v>165</v>
      </c>
      <c r="N3" s="60" t="s">
        <v>163</v>
      </c>
      <c r="O3" s="60" t="s">
        <v>164</v>
      </c>
    </row>
    <row r="4" spans="1:15" ht="17.25">
      <c r="A4" s="156" t="s">
        <v>14</v>
      </c>
      <c r="B4" s="156" t="s">
        <v>22</v>
      </c>
      <c r="C4" s="1" t="s">
        <v>36</v>
      </c>
      <c r="D4" s="2">
        <v>10.52</v>
      </c>
      <c r="E4" s="25" t="s">
        <v>34</v>
      </c>
      <c r="F4" s="2">
        <v>1450</v>
      </c>
      <c r="G4" s="2">
        <f>D4*F4</f>
        <v>15254</v>
      </c>
      <c r="H4" s="6">
        <v>1</v>
      </c>
      <c r="I4" s="2">
        <v>0.056</v>
      </c>
      <c r="J4" s="20">
        <f>G4*H4</f>
        <v>15254</v>
      </c>
      <c r="K4" s="19">
        <f>G4*I4</f>
        <v>854.224</v>
      </c>
      <c r="M4" s="56" t="s">
        <v>196</v>
      </c>
      <c r="N4" s="133">
        <v>15254</v>
      </c>
      <c r="O4" s="133">
        <v>854.224</v>
      </c>
    </row>
    <row r="5" spans="1:15" ht="15">
      <c r="A5" s="157"/>
      <c r="B5" s="157"/>
      <c r="C5" s="1" t="s">
        <v>37</v>
      </c>
      <c r="D5" s="11">
        <f>163*9.5625</f>
        <v>1558.6875</v>
      </c>
      <c r="E5" s="11" t="s">
        <v>35</v>
      </c>
      <c r="F5" s="14" t="s">
        <v>24</v>
      </c>
      <c r="G5" s="2">
        <v>1558.69</v>
      </c>
      <c r="H5" s="6">
        <v>4.6</v>
      </c>
      <c r="I5" s="2">
        <v>0.83</v>
      </c>
      <c r="J5" s="50">
        <f>G5*H5</f>
        <v>7169.973999999999</v>
      </c>
      <c r="K5" s="50">
        <f>G5*I5</f>
        <v>1293.7127</v>
      </c>
      <c r="M5" s="56" t="s">
        <v>197</v>
      </c>
      <c r="N5" s="133">
        <f>J5+J8+J13+J19+J24</f>
        <v>19288.858</v>
      </c>
      <c r="O5" s="133">
        <f>K5+K8+K13+K19+K24</f>
        <v>3480.3809</v>
      </c>
    </row>
    <row r="6" spans="1:15" ht="17.25">
      <c r="A6" s="157"/>
      <c r="B6" s="157"/>
      <c r="C6" s="1" t="s">
        <v>38</v>
      </c>
      <c r="D6" s="2">
        <v>4.97</v>
      </c>
      <c r="E6" s="25" t="s">
        <v>34</v>
      </c>
      <c r="F6" s="2">
        <v>1400</v>
      </c>
      <c r="G6" s="16">
        <f>D6*F6</f>
        <v>6958</v>
      </c>
      <c r="H6" s="6">
        <v>0.1</v>
      </c>
      <c r="I6" s="2">
        <v>0.005</v>
      </c>
      <c r="J6" s="45">
        <f>G6*H6</f>
        <v>695.8000000000001</v>
      </c>
      <c r="K6" s="45">
        <f>G6*I6</f>
        <v>34.79</v>
      </c>
      <c r="M6" s="56" t="s">
        <v>198</v>
      </c>
      <c r="N6" s="133">
        <f>J6+J9+J14+J20+J25</f>
        <v>1623.0006800000003</v>
      </c>
      <c r="O6" s="133">
        <f>K6+K9+K14+K20+K25</f>
        <v>81.150034</v>
      </c>
    </row>
    <row r="7" spans="1:15" ht="15">
      <c r="A7" s="2"/>
      <c r="B7" s="2"/>
      <c r="C7" s="1"/>
      <c r="D7" s="2"/>
      <c r="E7" s="2"/>
      <c r="F7" s="2"/>
      <c r="G7" s="2"/>
      <c r="H7" s="6"/>
      <c r="I7" s="2"/>
      <c r="J7" s="21"/>
      <c r="K7" s="21"/>
      <c r="M7" s="56" t="s">
        <v>199</v>
      </c>
      <c r="N7" s="133">
        <f>J10+J15</f>
        <v>1740.31956</v>
      </c>
      <c r="O7" s="133">
        <f>K10+K15</f>
        <v>98.61810840000001</v>
      </c>
    </row>
    <row r="8" spans="1:15" ht="15">
      <c r="A8" s="159" t="s">
        <v>21</v>
      </c>
      <c r="B8" s="157" t="s">
        <v>19</v>
      </c>
      <c r="C8" s="1" t="s">
        <v>41</v>
      </c>
      <c r="D8" s="2">
        <f>2.24*352</f>
        <v>788.48</v>
      </c>
      <c r="E8" s="11" t="s">
        <v>35</v>
      </c>
      <c r="F8" s="14" t="s">
        <v>24</v>
      </c>
      <c r="G8" s="2">
        <v>788.48</v>
      </c>
      <c r="H8" s="6">
        <v>4.6</v>
      </c>
      <c r="I8" s="2">
        <v>0.83</v>
      </c>
      <c r="J8" s="50">
        <f aca="true" t="shared" si="0" ref="J8:J17">G8*H8</f>
        <v>3627.008</v>
      </c>
      <c r="K8" s="50">
        <f aca="true" t="shared" si="1" ref="K8:K17">G8*I8</f>
        <v>654.4384</v>
      </c>
      <c r="M8" s="56" t="s">
        <v>200</v>
      </c>
      <c r="N8" s="133">
        <f>J11+J16</f>
        <v>7180.002</v>
      </c>
      <c r="O8" s="133">
        <f>K11+K16</f>
        <v>499.09770000000003</v>
      </c>
    </row>
    <row r="9" spans="1:15" ht="17.25">
      <c r="A9" s="159"/>
      <c r="B9" s="157"/>
      <c r="C9" s="1" t="s">
        <v>49</v>
      </c>
      <c r="D9" s="11">
        <f>2.24*0.5221</f>
        <v>1.169504</v>
      </c>
      <c r="E9" s="25" t="s">
        <v>34</v>
      </c>
      <c r="F9" s="16">
        <v>1400</v>
      </c>
      <c r="G9" s="11">
        <f>D9*F9</f>
        <v>1637.3056000000001</v>
      </c>
      <c r="H9" s="6">
        <v>0.1</v>
      </c>
      <c r="I9" s="2">
        <v>0.005</v>
      </c>
      <c r="J9" s="45">
        <f t="shared" si="0"/>
        <v>163.73056000000003</v>
      </c>
      <c r="K9" s="45">
        <f t="shared" si="1"/>
        <v>8.186528000000001</v>
      </c>
      <c r="M9" s="56" t="s">
        <v>201</v>
      </c>
      <c r="N9" s="133">
        <f>J12+J17+J28+J30+J31+J33+J34</f>
        <v>19244.949</v>
      </c>
      <c r="O9" s="133">
        <f>K12+K17+K28+K30+K31+K33+K34</f>
        <v>1159.9294499999999</v>
      </c>
    </row>
    <row r="10" spans="1:15" ht="17.25">
      <c r="A10" s="159"/>
      <c r="B10" s="157"/>
      <c r="C10" s="1" t="s">
        <v>50</v>
      </c>
      <c r="D10" s="11">
        <f>2.24*0.7637</f>
        <v>1.7106880000000002</v>
      </c>
      <c r="E10" s="25" t="s">
        <v>34</v>
      </c>
      <c r="F10" s="16">
        <v>1800</v>
      </c>
      <c r="G10" s="11">
        <f>D10*F10</f>
        <v>3079.2384</v>
      </c>
      <c r="H10" s="6">
        <v>0.3</v>
      </c>
      <c r="I10" s="2">
        <v>0.017</v>
      </c>
      <c r="J10" s="52">
        <f t="shared" si="0"/>
        <v>923.77152</v>
      </c>
      <c r="K10" s="52">
        <f t="shared" si="1"/>
        <v>52.34705280000001</v>
      </c>
      <c r="M10" s="55" t="s">
        <v>202</v>
      </c>
      <c r="N10" s="133">
        <f>J21</f>
        <v>8100</v>
      </c>
      <c r="O10" s="133">
        <f>K21</f>
        <v>531</v>
      </c>
    </row>
    <row r="11" spans="1:15" ht="15">
      <c r="A11" s="159"/>
      <c r="B11" s="157"/>
      <c r="C11" s="1" t="s">
        <v>51</v>
      </c>
      <c r="D11" s="2">
        <v>133.97</v>
      </c>
      <c r="E11" s="11" t="s">
        <v>35</v>
      </c>
      <c r="F11" s="14" t="s">
        <v>24</v>
      </c>
      <c r="G11" s="2">
        <v>133.97</v>
      </c>
      <c r="H11" s="6">
        <v>24.6</v>
      </c>
      <c r="I11" s="2">
        <v>1.71</v>
      </c>
      <c r="J11" s="53">
        <f t="shared" si="0"/>
        <v>3295.6620000000003</v>
      </c>
      <c r="K11" s="53">
        <f t="shared" si="1"/>
        <v>229.0887</v>
      </c>
      <c r="M11" s="56" t="s">
        <v>203</v>
      </c>
      <c r="N11" s="133">
        <f>J23</f>
        <v>29969.189250000003</v>
      </c>
      <c r="O11" s="133">
        <f>K23</f>
        <v>2197.740545</v>
      </c>
    </row>
    <row r="12" spans="1:15" ht="17.25">
      <c r="A12" s="159"/>
      <c r="B12" s="157"/>
      <c r="C12" s="1" t="s">
        <v>52</v>
      </c>
      <c r="D12" s="2">
        <f>(0.03*56)/2</f>
        <v>0.84</v>
      </c>
      <c r="E12" s="25" t="s">
        <v>34</v>
      </c>
      <c r="F12" s="2">
        <v>705</v>
      </c>
      <c r="G12" s="11">
        <f>D12*F12</f>
        <v>592.1999999999999</v>
      </c>
      <c r="H12" s="6">
        <v>7.4</v>
      </c>
      <c r="I12" s="2">
        <v>0.45</v>
      </c>
      <c r="J12" s="41">
        <f>G12*H12</f>
        <v>4382.28</v>
      </c>
      <c r="K12" s="41">
        <f t="shared" si="1"/>
        <v>266.48999999999995</v>
      </c>
      <c r="M12" s="55" t="s">
        <v>204</v>
      </c>
      <c r="N12" s="133">
        <f>J26</f>
        <v>633.165</v>
      </c>
      <c r="O12" s="133">
        <f>K26</f>
        <v>32.899750000000004</v>
      </c>
    </row>
    <row r="13" spans="1:15" ht="15">
      <c r="A13" s="159"/>
      <c r="B13" s="157" t="s">
        <v>20</v>
      </c>
      <c r="C13" s="1" t="s">
        <v>41</v>
      </c>
      <c r="D13" s="2">
        <f>1.98*352</f>
        <v>696.96</v>
      </c>
      <c r="E13" s="11" t="s">
        <v>35</v>
      </c>
      <c r="F13" s="14" t="s">
        <v>24</v>
      </c>
      <c r="G13" s="2">
        <v>696.96</v>
      </c>
      <c r="H13" s="6">
        <v>4.6</v>
      </c>
      <c r="I13" s="2">
        <v>0.83</v>
      </c>
      <c r="J13" s="50">
        <f t="shared" si="0"/>
        <v>3206.016</v>
      </c>
      <c r="K13" s="50">
        <f t="shared" si="1"/>
        <v>578.4768</v>
      </c>
      <c r="M13" s="55" t="s">
        <v>205</v>
      </c>
      <c r="N13" s="133">
        <f>J29</f>
        <v>23849.451</v>
      </c>
      <c r="O13" s="133">
        <f>K29</f>
        <v>1275.3099000000002</v>
      </c>
    </row>
    <row r="14" spans="1:15" ht="17.25">
      <c r="A14" s="159"/>
      <c r="B14" s="157"/>
      <c r="C14" s="1" t="s">
        <v>49</v>
      </c>
      <c r="D14" s="11">
        <f>1.98*0.5221</f>
        <v>1.033758</v>
      </c>
      <c r="E14" s="25" t="s">
        <v>34</v>
      </c>
      <c r="F14" s="16">
        <v>1400</v>
      </c>
      <c r="G14" s="11">
        <f>D14*F14</f>
        <v>1447.2612</v>
      </c>
      <c r="H14" s="6">
        <v>0.1</v>
      </c>
      <c r="I14" s="2">
        <v>0.005</v>
      </c>
      <c r="J14" s="45">
        <f t="shared" si="0"/>
        <v>144.72612</v>
      </c>
      <c r="K14" s="45">
        <f t="shared" si="1"/>
        <v>7.236306</v>
      </c>
      <c r="M14" s="57" t="s">
        <v>206</v>
      </c>
      <c r="N14" s="133">
        <f>J35</f>
        <v>831.7275</v>
      </c>
      <c r="O14" s="133">
        <f>K35</f>
        <v>47.13122499999999</v>
      </c>
    </row>
    <row r="15" spans="1:15" ht="17.25">
      <c r="A15" s="159"/>
      <c r="B15" s="157"/>
      <c r="C15" s="1" t="s">
        <v>50</v>
      </c>
      <c r="D15" s="11">
        <f>1.98*0.7637</f>
        <v>1.512126</v>
      </c>
      <c r="E15" s="25" t="s">
        <v>34</v>
      </c>
      <c r="F15" s="16">
        <v>1800</v>
      </c>
      <c r="G15" s="11">
        <f>D15*F15</f>
        <v>2721.8268000000003</v>
      </c>
      <c r="H15" s="6">
        <v>0.3</v>
      </c>
      <c r="I15" s="2">
        <v>0.017</v>
      </c>
      <c r="J15" s="52">
        <f t="shared" si="0"/>
        <v>816.54804</v>
      </c>
      <c r="K15" s="52">
        <f t="shared" si="1"/>
        <v>46.27105560000001</v>
      </c>
      <c r="M15" s="58" t="s">
        <v>162</v>
      </c>
      <c r="N15" s="55">
        <f>SUM(N4:N14)</f>
        <v>127714.66199</v>
      </c>
      <c r="O15" s="55">
        <f>SUM(O4:O14)</f>
        <v>10257.4816124</v>
      </c>
    </row>
    <row r="16" spans="1:11" ht="15">
      <c r="A16" s="159"/>
      <c r="B16" s="157"/>
      <c r="C16" s="1" t="s">
        <v>51</v>
      </c>
      <c r="D16" s="11">
        <f>2.64*59.81</f>
        <v>157.8984</v>
      </c>
      <c r="E16" s="11" t="s">
        <v>35</v>
      </c>
      <c r="F16" s="14" t="s">
        <v>24</v>
      </c>
      <c r="G16" s="11">
        <v>157.9</v>
      </c>
      <c r="H16" s="6">
        <v>24.6</v>
      </c>
      <c r="I16" s="2">
        <v>1.71</v>
      </c>
      <c r="J16" s="53">
        <f>G16*H16</f>
        <v>3884.34</v>
      </c>
      <c r="K16" s="53">
        <f t="shared" si="1"/>
        <v>270.009</v>
      </c>
    </row>
    <row r="17" spans="1:11" ht="17.25">
      <c r="A17" s="159"/>
      <c r="B17" s="157"/>
      <c r="C17" s="1" t="s">
        <v>52</v>
      </c>
      <c r="D17" s="2">
        <f>((66/2)*0.03)/2</f>
        <v>0.495</v>
      </c>
      <c r="E17" s="25" t="s">
        <v>34</v>
      </c>
      <c r="F17" s="2">
        <v>705</v>
      </c>
      <c r="G17" s="11">
        <f>D17*F17</f>
        <v>348.975</v>
      </c>
      <c r="H17" s="6">
        <v>7.4</v>
      </c>
      <c r="I17" s="2">
        <v>0.45</v>
      </c>
      <c r="J17" s="41">
        <f t="shared" si="0"/>
        <v>2582.4150000000004</v>
      </c>
      <c r="K17" s="41">
        <f t="shared" si="1"/>
        <v>157.03875000000002</v>
      </c>
    </row>
    <row r="18" spans="1:11" ht="15">
      <c r="A18" s="2"/>
      <c r="B18" s="2"/>
      <c r="C18" s="1"/>
      <c r="D18" s="2"/>
      <c r="E18" s="2"/>
      <c r="F18" s="2"/>
      <c r="G18" s="2"/>
      <c r="H18" s="6"/>
      <c r="I18" s="2"/>
      <c r="J18" s="21"/>
      <c r="K18" s="21"/>
    </row>
    <row r="19" spans="1:11" ht="15">
      <c r="A19" s="157" t="s">
        <v>13</v>
      </c>
      <c r="B19" s="157" t="s">
        <v>143</v>
      </c>
      <c r="C19" s="1" t="s">
        <v>41</v>
      </c>
      <c r="D19" s="2">
        <f>36*10.4</f>
        <v>374.40000000000003</v>
      </c>
      <c r="E19" s="11" t="s">
        <v>35</v>
      </c>
      <c r="F19" s="14" t="s">
        <v>24</v>
      </c>
      <c r="G19" s="2">
        <v>374.4</v>
      </c>
      <c r="H19" s="6">
        <v>4.6</v>
      </c>
      <c r="I19" s="2">
        <v>0.83</v>
      </c>
      <c r="J19" s="50">
        <f>G19*H19</f>
        <v>1722.2399999999998</v>
      </c>
      <c r="K19" s="50">
        <f>G19*I19</f>
        <v>310.75199999999995</v>
      </c>
    </row>
    <row r="20" spans="1:11" ht="17.25">
      <c r="A20" s="157"/>
      <c r="B20" s="157"/>
      <c r="C20" s="1" t="s">
        <v>49</v>
      </c>
      <c r="D20" s="2">
        <f>36*0.04</f>
        <v>1.44</v>
      </c>
      <c r="E20" s="25" t="s">
        <v>34</v>
      </c>
      <c r="F20" s="16">
        <v>1400</v>
      </c>
      <c r="G20" s="16">
        <f>D20*F20</f>
        <v>2016</v>
      </c>
      <c r="H20" s="6">
        <v>0.1</v>
      </c>
      <c r="I20" s="2">
        <v>0.005</v>
      </c>
      <c r="J20" s="45">
        <f>G20*H20</f>
        <v>201.60000000000002</v>
      </c>
      <c r="K20" s="45">
        <f>G20*I20</f>
        <v>10.08</v>
      </c>
    </row>
    <row r="21" spans="1:15" ht="17.25">
      <c r="A21" s="157"/>
      <c r="B21" s="2" t="s">
        <v>7</v>
      </c>
      <c r="C21" s="1" t="s">
        <v>48</v>
      </c>
      <c r="D21" s="2">
        <f>36*0.01</f>
        <v>0.36</v>
      </c>
      <c r="E21" s="25" t="s">
        <v>34</v>
      </c>
      <c r="F21" s="2">
        <v>2500</v>
      </c>
      <c r="G21" s="16">
        <f>D21*F21</f>
        <v>900</v>
      </c>
      <c r="H21" s="6">
        <v>9</v>
      </c>
      <c r="I21" s="2">
        <v>0.59</v>
      </c>
      <c r="J21" s="43">
        <f>G21*H21</f>
        <v>8100</v>
      </c>
      <c r="K21" s="44">
        <f>G21*I21</f>
        <v>531</v>
      </c>
      <c r="M21" s="60" t="s">
        <v>175</v>
      </c>
      <c r="N21" s="60" t="s">
        <v>163</v>
      </c>
      <c r="O21" s="60" t="s">
        <v>164</v>
      </c>
    </row>
    <row r="22" spans="1:15" ht="15">
      <c r="A22" s="2"/>
      <c r="B22" s="2"/>
      <c r="C22" s="1"/>
      <c r="D22" s="2"/>
      <c r="E22" s="2"/>
      <c r="F22" s="2"/>
      <c r="G22" s="2"/>
      <c r="H22" s="6"/>
      <c r="I22" s="2"/>
      <c r="J22" s="21"/>
      <c r="K22" s="21"/>
      <c r="M22" s="56" t="s">
        <v>190</v>
      </c>
      <c r="N22" s="131">
        <f>SUM(J4:J6)</f>
        <v>23119.773999999998</v>
      </c>
      <c r="O22" s="131">
        <f>SUM(K4:K6)</f>
        <v>2182.7267</v>
      </c>
    </row>
    <row r="23" spans="1:15" ht="17.25">
      <c r="A23" s="157" t="s">
        <v>12</v>
      </c>
      <c r="B23" s="2" t="s">
        <v>4</v>
      </c>
      <c r="C23" s="5" t="s">
        <v>40</v>
      </c>
      <c r="D23" s="13">
        <f>70*124.15*(0.11*0.22*0.05)</f>
        <v>10.515505000000001</v>
      </c>
      <c r="E23" s="25" t="s">
        <v>34</v>
      </c>
      <c r="F23" s="6">
        <v>950</v>
      </c>
      <c r="G23" s="16">
        <f>D23*F23</f>
        <v>9989.72975</v>
      </c>
      <c r="H23" s="6">
        <v>3</v>
      </c>
      <c r="I23" s="6">
        <v>0.22</v>
      </c>
      <c r="J23" s="46">
        <f>G23*H23</f>
        <v>29969.189250000003</v>
      </c>
      <c r="K23" s="46">
        <f>G23*I23</f>
        <v>2197.740545</v>
      </c>
      <c r="M23" s="56" t="s">
        <v>191</v>
      </c>
      <c r="N23" s="131">
        <f>SUM(J8:J17)</f>
        <v>23026.49724</v>
      </c>
      <c r="O23" s="131">
        <f>SUM(K8:K17)</f>
        <v>2269.5825924</v>
      </c>
    </row>
    <row r="24" spans="1:15" ht="15">
      <c r="A24" s="157"/>
      <c r="B24" s="157" t="s">
        <v>5</v>
      </c>
      <c r="C24" s="1" t="s">
        <v>41</v>
      </c>
      <c r="D24" s="11">
        <f>124.15*6.24</f>
        <v>774.696</v>
      </c>
      <c r="E24" s="11" t="s">
        <v>35</v>
      </c>
      <c r="F24" s="14" t="s">
        <v>24</v>
      </c>
      <c r="G24" s="11">
        <v>774.7</v>
      </c>
      <c r="H24" s="6">
        <v>4.6</v>
      </c>
      <c r="I24" s="2">
        <v>0.83</v>
      </c>
      <c r="J24" s="50">
        <f>G24*H24</f>
        <v>3563.62</v>
      </c>
      <c r="K24" s="51">
        <f>G24*I24</f>
        <v>643.001</v>
      </c>
      <c r="M24" s="56" t="s">
        <v>192</v>
      </c>
      <c r="N24" s="131">
        <f>SUM(J19:J21)</f>
        <v>10023.84</v>
      </c>
      <c r="O24" s="131">
        <f>SUM(K19:K21)</f>
        <v>851.8319999999999</v>
      </c>
    </row>
    <row r="25" spans="1:15" ht="17.25">
      <c r="A25" s="157"/>
      <c r="B25" s="157"/>
      <c r="C25" s="1" t="s">
        <v>38</v>
      </c>
      <c r="D25" s="11">
        <f>124.15*0.024</f>
        <v>2.9796</v>
      </c>
      <c r="E25" s="25" t="s">
        <v>34</v>
      </c>
      <c r="F25" s="16">
        <v>1400</v>
      </c>
      <c r="G25" s="11">
        <f>D25*F25</f>
        <v>4171.44</v>
      </c>
      <c r="H25" s="6">
        <v>0.1</v>
      </c>
      <c r="I25" s="2">
        <v>0.005</v>
      </c>
      <c r="J25" s="45">
        <f>G25*H25</f>
        <v>417.144</v>
      </c>
      <c r="K25" s="45">
        <f>G25*I25</f>
        <v>20.8572</v>
      </c>
      <c r="M25" s="56" t="s">
        <v>193</v>
      </c>
      <c r="N25" s="131">
        <f>SUM(J23:J26)</f>
        <v>34583.11825000001</v>
      </c>
      <c r="O25" s="131">
        <f>SUM(K23:K26)</f>
        <v>2894.498495</v>
      </c>
    </row>
    <row r="26" spans="1:15" ht="15">
      <c r="A26" s="157"/>
      <c r="B26" s="2" t="s">
        <v>25</v>
      </c>
      <c r="C26" s="1" t="s">
        <v>42</v>
      </c>
      <c r="D26" s="11">
        <f>(124.15*2)/12</f>
        <v>20.691666666666666</v>
      </c>
      <c r="E26" s="11" t="s">
        <v>39</v>
      </c>
      <c r="F26" s="15">
        <v>1.5</v>
      </c>
      <c r="G26" s="11">
        <f>D26*F26</f>
        <v>31.0375</v>
      </c>
      <c r="H26" s="6">
        <v>20.4</v>
      </c>
      <c r="I26" s="2">
        <v>1.06</v>
      </c>
      <c r="J26" s="47">
        <f>G26*H26</f>
        <v>633.165</v>
      </c>
      <c r="K26" s="47">
        <f>G26*I26</f>
        <v>32.899750000000004</v>
      </c>
      <c r="M26" s="56" t="s">
        <v>194</v>
      </c>
      <c r="N26" s="131">
        <f>SUM(J28:J31)</f>
        <v>33422.082</v>
      </c>
      <c r="O26" s="131">
        <f>SUM(K28:K31)</f>
        <v>1847.0578500000001</v>
      </c>
    </row>
    <row r="27" spans="1:15" ht="15">
      <c r="A27" s="2"/>
      <c r="B27" s="2"/>
      <c r="C27" s="1"/>
      <c r="D27" s="2"/>
      <c r="E27" s="2"/>
      <c r="F27" s="2"/>
      <c r="G27" s="2"/>
      <c r="H27" s="6"/>
      <c r="I27" s="2"/>
      <c r="J27" s="21"/>
      <c r="K27" s="21"/>
      <c r="M27" s="56" t="s">
        <v>195</v>
      </c>
      <c r="N27" s="131">
        <f>SUM(J33:J35)</f>
        <v>3539.3505</v>
      </c>
      <c r="O27" s="131">
        <f>SUM(K33:K35)</f>
        <v>211.78397500000003</v>
      </c>
    </row>
    <row r="28" spans="1:15" ht="17.25">
      <c r="A28" s="157" t="s">
        <v>11</v>
      </c>
      <c r="B28" s="2" t="s">
        <v>17</v>
      </c>
      <c r="C28" s="1" t="s">
        <v>43</v>
      </c>
      <c r="D28" s="12">
        <v>1.379</v>
      </c>
      <c r="E28" s="25" t="s">
        <v>34</v>
      </c>
      <c r="F28" s="17">
        <v>705</v>
      </c>
      <c r="G28" s="11">
        <f aca="true" t="shared" si="2" ref="G28:G31">D28*F28</f>
        <v>972.195</v>
      </c>
      <c r="H28" s="6">
        <v>7.4</v>
      </c>
      <c r="I28" s="2">
        <v>0.45</v>
      </c>
      <c r="J28" s="41">
        <f>G28*H28</f>
        <v>7194.243</v>
      </c>
      <c r="K28" s="41">
        <f>G28*I28</f>
        <v>437.48775</v>
      </c>
      <c r="M28" s="59" t="s">
        <v>176</v>
      </c>
      <c r="N28" s="132">
        <f>SUM(N22:N27)</f>
        <v>127714.66199</v>
      </c>
      <c r="O28" s="132">
        <f>SUM(O22:O27)</f>
        <v>10257.4816124</v>
      </c>
    </row>
    <row r="29" spans="1:15" ht="17.25">
      <c r="A29" s="157"/>
      <c r="B29" s="2" t="s">
        <v>16</v>
      </c>
      <c r="C29" s="1" t="s">
        <v>167</v>
      </c>
      <c r="D29" s="9">
        <f>36*0.0015</f>
        <v>0.054</v>
      </c>
      <c r="E29" s="25" t="s">
        <v>34</v>
      </c>
      <c r="F29" s="9">
        <v>7135</v>
      </c>
      <c r="G29" s="11">
        <f t="shared" si="2"/>
        <v>385.29</v>
      </c>
      <c r="H29" s="6">
        <v>61.9</v>
      </c>
      <c r="I29" s="2">
        <v>3.31</v>
      </c>
      <c r="J29" s="49">
        <f>G29*H29</f>
        <v>23849.451</v>
      </c>
      <c r="K29" s="49">
        <f>G29*I29</f>
        <v>1275.3099000000002</v>
      </c>
      <c r="M29" s="61"/>
      <c r="N29" s="54"/>
      <c r="O29" s="54"/>
    </row>
    <row r="30" spans="1:15" ht="17.25">
      <c r="A30" s="157"/>
      <c r="B30" s="2" t="s">
        <v>8</v>
      </c>
      <c r="C30" s="1" t="s">
        <v>43</v>
      </c>
      <c r="D30" s="12">
        <v>0.164</v>
      </c>
      <c r="E30" s="25" t="s">
        <v>34</v>
      </c>
      <c r="F30" s="17">
        <v>705</v>
      </c>
      <c r="G30" s="11">
        <f t="shared" si="2"/>
        <v>115.62</v>
      </c>
      <c r="H30" s="6">
        <v>7.4</v>
      </c>
      <c r="I30" s="2">
        <v>0.45</v>
      </c>
      <c r="J30" s="41">
        <f>G30*H30</f>
        <v>855.5880000000001</v>
      </c>
      <c r="K30" s="41">
        <f>G30*I30</f>
        <v>52.029</v>
      </c>
      <c r="M30" s="60" t="s">
        <v>175</v>
      </c>
      <c r="N30" s="60" t="s">
        <v>163</v>
      </c>
      <c r="O30" s="60" t="s">
        <v>164</v>
      </c>
    </row>
    <row r="31" spans="1:15" ht="17.25">
      <c r="A31" s="157"/>
      <c r="B31" s="2" t="s">
        <v>10</v>
      </c>
      <c r="C31" s="1" t="s">
        <v>45</v>
      </c>
      <c r="D31" s="12">
        <v>0.144</v>
      </c>
      <c r="E31" s="25" t="s">
        <v>34</v>
      </c>
      <c r="F31" s="17">
        <v>705</v>
      </c>
      <c r="G31" s="11">
        <f t="shared" si="2"/>
        <v>101.52</v>
      </c>
      <c r="H31" s="6">
        <v>15</v>
      </c>
      <c r="I31" s="2">
        <v>0.81</v>
      </c>
      <c r="J31" s="41">
        <f>G31*H31</f>
        <v>1522.8</v>
      </c>
      <c r="K31" s="41">
        <f>G31*I31</f>
        <v>82.2312</v>
      </c>
      <c r="M31" s="56" t="s">
        <v>190</v>
      </c>
      <c r="N31" s="62">
        <f>N22/N28</f>
        <v>0.1810267798524986</v>
      </c>
      <c r="O31" s="62">
        <f>O22/O28</f>
        <v>0.21279362542179545</v>
      </c>
    </row>
    <row r="32" spans="1:15" ht="15">
      <c r="A32" s="2"/>
      <c r="B32" s="2"/>
      <c r="C32" s="1"/>
      <c r="D32" s="2"/>
      <c r="E32" s="2"/>
      <c r="F32" s="2"/>
      <c r="G32" s="2"/>
      <c r="H32" s="6"/>
      <c r="I32" s="2"/>
      <c r="J32" s="21"/>
      <c r="K32" s="21"/>
      <c r="M32" s="56" t="s">
        <v>191</v>
      </c>
      <c r="N32" s="62">
        <f>N23/N28</f>
        <v>0.18029642706021465</v>
      </c>
      <c r="O32" s="62">
        <f>O23/O28</f>
        <v>0.22126119043258738</v>
      </c>
    </row>
    <row r="33" spans="1:15" ht="17.25">
      <c r="A33" s="157" t="s">
        <v>15</v>
      </c>
      <c r="B33" s="2" t="s">
        <v>6</v>
      </c>
      <c r="C33" s="1" t="s">
        <v>43</v>
      </c>
      <c r="D33" s="11">
        <v>0.249</v>
      </c>
      <c r="E33" s="25" t="s">
        <v>34</v>
      </c>
      <c r="F33" s="17">
        <v>705</v>
      </c>
      <c r="G33" s="16">
        <f aca="true" t="shared" si="3" ref="G33:G34">D33*F33</f>
        <v>175.545</v>
      </c>
      <c r="H33" s="6">
        <v>7.4</v>
      </c>
      <c r="I33" s="2">
        <v>0.45</v>
      </c>
      <c r="J33" s="41">
        <f aca="true" t="shared" si="4" ref="J33:J34">G33*H33</f>
        <v>1299.033</v>
      </c>
      <c r="K33" s="42">
        <f aca="true" t="shared" si="5" ref="K33:K34">G33*I33</f>
        <v>78.99525</v>
      </c>
      <c r="M33" s="56" t="s">
        <v>192</v>
      </c>
      <c r="N33" s="62">
        <f>N24/N28</f>
        <v>0.07848621171455523</v>
      </c>
      <c r="O33" s="62">
        <f>O24/O28</f>
        <v>0.08304494535678646</v>
      </c>
    </row>
    <row r="34" spans="1:15" ht="17.25">
      <c r="A34" s="157"/>
      <c r="B34" s="2" t="s">
        <v>18</v>
      </c>
      <c r="C34" s="1" t="s">
        <v>46</v>
      </c>
      <c r="D34" s="2">
        <v>0.27</v>
      </c>
      <c r="E34" s="25" t="s">
        <v>34</v>
      </c>
      <c r="F34" s="17">
        <v>705</v>
      </c>
      <c r="G34" s="16">
        <f t="shared" si="3"/>
        <v>190.35000000000002</v>
      </c>
      <c r="H34" s="6">
        <v>7.4</v>
      </c>
      <c r="I34" s="2">
        <v>0.45</v>
      </c>
      <c r="J34" s="41">
        <f t="shared" si="4"/>
        <v>1408.5900000000001</v>
      </c>
      <c r="K34" s="41">
        <f t="shared" si="5"/>
        <v>85.65750000000001</v>
      </c>
      <c r="M34" s="56" t="s">
        <v>193</v>
      </c>
      <c r="N34" s="62">
        <f>N25/N28</f>
        <v>0.2707842444331713</v>
      </c>
      <c r="O34" s="62">
        <f>O25/O28</f>
        <v>0.2821841270961594</v>
      </c>
    </row>
    <row r="35" spans="1:15" ht="18" thickBot="1">
      <c r="A35" s="169"/>
      <c r="B35" s="38" t="s">
        <v>9</v>
      </c>
      <c r="C35" s="3" t="s">
        <v>47</v>
      </c>
      <c r="D35" s="2">
        <f>8.6*0.0025</f>
        <v>0.0215</v>
      </c>
      <c r="E35" s="25" t="s">
        <v>34</v>
      </c>
      <c r="F35" s="2">
        <v>2579</v>
      </c>
      <c r="G35" s="11">
        <f>D35*F35</f>
        <v>55.448499999999996</v>
      </c>
      <c r="H35" s="8">
        <v>15</v>
      </c>
      <c r="I35" s="8">
        <v>0.85</v>
      </c>
      <c r="J35" s="48">
        <f>G35*H35</f>
        <v>831.7275</v>
      </c>
      <c r="K35" s="48">
        <f>G35*I35</f>
        <v>47.13122499999999</v>
      </c>
      <c r="M35" s="56" t="s">
        <v>194</v>
      </c>
      <c r="N35" s="62">
        <f>N26/N28</f>
        <v>0.2616933833534081</v>
      </c>
      <c r="O35" s="62">
        <f>O26/O28</f>
        <v>0.18006933083527446</v>
      </c>
    </row>
    <row r="36" spans="3:15" ht="15">
      <c r="C36" s="170"/>
      <c r="D36" s="170"/>
      <c r="E36" s="170"/>
      <c r="F36" s="170"/>
      <c r="G36" s="170"/>
      <c r="H36" s="170"/>
      <c r="I36" s="170"/>
      <c r="J36" s="22">
        <f>SUM(J4:J35)</f>
        <v>127714.66199</v>
      </c>
      <c r="K36" s="23">
        <f>SUM(K4:K35)</f>
        <v>10257.4816124</v>
      </c>
      <c r="M36" s="56" t="s">
        <v>195</v>
      </c>
      <c r="N36" s="62">
        <f>N27/N28</f>
        <v>0.027712953586152306</v>
      </c>
      <c r="O36" s="62">
        <f>O27/O28</f>
        <v>0.020646780857396803</v>
      </c>
    </row>
    <row r="37" spans="3:15" ht="15">
      <c r="C37" s="171"/>
      <c r="D37" s="171"/>
      <c r="E37" s="171"/>
      <c r="F37" s="171"/>
      <c r="G37" s="171"/>
      <c r="H37" s="171"/>
      <c r="I37" s="171"/>
      <c r="J37" s="24">
        <f>J36/36</f>
        <v>3547.629499722222</v>
      </c>
      <c r="K37" s="24">
        <f>K36/36</f>
        <v>284.9300447888889</v>
      </c>
      <c r="M37" s="59" t="s">
        <v>176</v>
      </c>
      <c r="N37" s="63">
        <f>SUM(N31:N36)</f>
        <v>1</v>
      </c>
      <c r="O37" s="63">
        <f>SUM(O31:O36)</f>
        <v>1</v>
      </c>
    </row>
  </sheetData>
  <mergeCells count="22">
    <mergeCell ref="F2:F3"/>
    <mergeCell ref="G2:G3"/>
    <mergeCell ref="H2:I2"/>
    <mergeCell ref="J2:K2"/>
    <mergeCell ref="A2:A3"/>
    <mergeCell ref="B2:B3"/>
    <mergeCell ref="C2:C3"/>
    <mergeCell ref="D2:D3"/>
    <mergeCell ref="E2:E3"/>
    <mergeCell ref="C36:I36"/>
    <mergeCell ref="C37:I37"/>
    <mergeCell ref="A4:A6"/>
    <mergeCell ref="B4:B6"/>
    <mergeCell ref="B8:B12"/>
    <mergeCell ref="B13:B17"/>
    <mergeCell ref="B19:B20"/>
    <mergeCell ref="B24:B25"/>
    <mergeCell ref="A23:A26"/>
    <mergeCell ref="A28:A31"/>
    <mergeCell ref="A33:A35"/>
    <mergeCell ref="A8:A17"/>
    <mergeCell ref="A19:A21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M38"/>
  <sheetViews>
    <sheetView showGridLines="0" workbookViewId="0" topLeftCell="A1">
      <selection activeCell="R14" sqref="R14"/>
    </sheetView>
  </sheetViews>
  <sheetFormatPr defaultColWidth="9.140625" defaultRowHeight="15"/>
  <cols>
    <col min="2" max="2" width="2.7109375" style="0" bestFit="1" customWidth="1"/>
    <col min="3" max="4" width="11.140625" style="0" bestFit="1" customWidth="1"/>
    <col min="5" max="5" width="10.57421875" style="0" bestFit="1" customWidth="1"/>
    <col min="6" max="6" width="6.57421875" style="0" customWidth="1"/>
    <col min="7" max="7" width="4.7109375" style="0" customWidth="1"/>
    <col min="8" max="8" width="7.28125" style="0" customWidth="1"/>
    <col min="9" max="9" width="6.28125" style="0" customWidth="1"/>
    <col min="11" max="11" width="9.8515625" style="0" customWidth="1"/>
    <col min="12" max="12" width="9.140625" style="0" customWidth="1"/>
    <col min="13" max="13" width="8.421875" style="0" customWidth="1"/>
  </cols>
  <sheetData>
    <row r="2" ht="15.75" thickBot="1"/>
    <row r="3" spans="2:13" ht="15.75" thickBot="1">
      <c r="B3" s="185" t="s">
        <v>31</v>
      </c>
      <c r="C3" s="187" t="s">
        <v>26</v>
      </c>
      <c r="D3" s="187" t="s">
        <v>32</v>
      </c>
      <c r="E3" s="187" t="s">
        <v>0</v>
      </c>
      <c r="F3" s="187" t="s">
        <v>1</v>
      </c>
      <c r="G3" s="187" t="s">
        <v>33</v>
      </c>
      <c r="H3" s="189" t="s">
        <v>186</v>
      </c>
      <c r="I3" s="189" t="s">
        <v>23</v>
      </c>
      <c r="J3" s="191" t="s">
        <v>181</v>
      </c>
      <c r="K3" s="192"/>
      <c r="L3" s="183" t="s">
        <v>3</v>
      </c>
      <c r="M3" s="183"/>
    </row>
    <row r="4" spans="2:13" ht="27.75" thickBot="1">
      <c r="B4" s="186"/>
      <c r="C4" s="188"/>
      <c r="D4" s="188"/>
      <c r="E4" s="188"/>
      <c r="F4" s="188"/>
      <c r="G4" s="188"/>
      <c r="H4" s="190"/>
      <c r="I4" s="190"/>
      <c r="J4" s="98" t="s">
        <v>27</v>
      </c>
      <c r="K4" s="99" t="s">
        <v>187</v>
      </c>
      <c r="L4" s="100" t="s">
        <v>28</v>
      </c>
      <c r="M4" s="100" t="s">
        <v>188</v>
      </c>
    </row>
    <row r="5" spans="2:13" ht="15">
      <c r="B5" s="177">
        <v>1</v>
      </c>
      <c r="C5" s="178" t="s">
        <v>14</v>
      </c>
      <c r="D5" s="176" t="s">
        <v>22</v>
      </c>
      <c r="E5" s="101" t="s">
        <v>36</v>
      </c>
      <c r="F5" s="102">
        <v>10.52</v>
      </c>
      <c r="G5" s="103" t="s">
        <v>189</v>
      </c>
      <c r="H5" s="102">
        <v>1450</v>
      </c>
      <c r="I5" s="102">
        <f>F5*H5</f>
        <v>15254</v>
      </c>
      <c r="J5" s="104">
        <v>1</v>
      </c>
      <c r="K5" s="105">
        <v>0.056</v>
      </c>
      <c r="L5" s="106">
        <f>I5*J5</f>
        <v>15254</v>
      </c>
      <c r="M5" s="107">
        <f>I5*K5</f>
        <v>854.224</v>
      </c>
    </row>
    <row r="6" spans="2:13" ht="15">
      <c r="B6" s="177"/>
      <c r="C6" s="178"/>
      <c r="D6" s="176"/>
      <c r="E6" s="101" t="s">
        <v>37</v>
      </c>
      <c r="F6" s="108">
        <f>163*9.5625</f>
        <v>1558.6875</v>
      </c>
      <c r="G6" s="108" t="s">
        <v>35</v>
      </c>
      <c r="H6" s="109" t="s">
        <v>24</v>
      </c>
      <c r="I6" s="102">
        <v>1558.69</v>
      </c>
      <c r="J6" s="104">
        <v>4.6</v>
      </c>
      <c r="K6" s="105">
        <v>0.83</v>
      </c>
      <c r="L6" s="107">
        <f>I6*J6</f>
        <v>7169.973999999999</v>
      </c>
      <c r="M6" s="107">
        <f>I6*K6</f>
        <v>1293.7127</v>
      </c>
    </row>
    <row r="7" spans="2:13" ht="15">
      <c r="B7" s="177"/>
      <c r="C7" s="178"/>
      <c r="D7" s="176"/>
      <c r="E7" s="101" t="s">
        <v>38</v>
      </c>
      <c r="F7" s="102">
        <v>4.97</v>
      </c>
      <c r="G7" s="103" t="s">
        <v>189</v>
      </c>
      <c r="H7" s="102">
        <v>1400</v>
      </c>
      <c r="I7" s="110">
        <f>F7*H7</f>
        <v>6958</v>
      </c>
      <c r="J7" s="104">
        <v>0.1</v>
      </c>
      <c r="K7" s="105">
        <v>0.005</v>
      </c>
      <c r="L7" s="107">
        <f>I7*J7</f>
        <v>695.8000000000001</v>
      </c>
      <c r="M7" s="107">
        <f>I7*K7</f>
        <v>34.79</v>
      </c>
    </row>
    <row r="8" spans="2:13" ht="7.5" customHeight="1">
      <c r="B8" s="111"/>
      <c r="C8" s="102"/>
      <c r="D8" s="101"/>
      <c r="E8" s="101"/>
      <c r="F8" s="102"/>
      <c r="G8" s="102"/>
      <c r="H8" s="102"/>
      <c r="I8" s="102"/>
      <c r="J8" s="104"/>
      <c r="K8" s="105"/>
      <c r="L8" s="112"/>
      <c r="M8" s="112"/>
    </row>
    <row r="9" spans="2:13" ht="15">
      <c r="B9" s="177">
        <v>2</v>
      </c>
      <c r="C9" s="184" t="s">
        <v>21</v>
      </c>
      <c r="D9" s="176" t="s">
        <v>19</v>
      </c>
      <c r="E9" s="101" t="s">
        <v>41</v>
      </c>
      <c r="F9" s="102">
        <f>2.24*352</f>
        <v>788.48</v>
      </c>
      <c r="G9" s="108" t="s">
        <v>35</v>
      </c>
      <c r="H9" s="109" t="s">
        <v>24</v>
      </c>
      <c r="I9" s="102">
        <v>788.48</v>
      </c>
      <c r="J9" s="104">
        <v>4.6</v>
      </c>
      <c r="K9" s="105">
        <v>0.83</v>
      </c>
      <c r="L9" s="107">
        <f aca="true" t="shared" si="0" ref="L9:L18">I9*J9</f>
        <v>3627.008</v>
      </c>
      <c r="M9" s="107">
        <f aca="true" t="shared" si="1" ref="M9:M18">I9*K9</f>
        <v>654.4384</v>
      </c>
    </row>
    <row r="10" spans="2:13" ht="15">
      <c r="B10" s="177"/>
      <c r="C10" s="184"/>
      <c r="D10" s="176"/>
      <c r="E10" s="101" t="s">
        <v>49</v>
      </c>
      <c r="F10" s="108">
        <f>2.24*0.5221</f>
        <v>1.169504</v>
      </c>
      <c r="G10" s="103" t="s">
        <v>189</v>
      </c>
      <c r="H10" s="110">
        <v>1400</v>
      </c>
      <c r="I10" s="108">
        <f>F10*H10</f>
        <v>1637.3056000000001</v>
      </c>
      <c r="J10" s="104">
        <v>0.1</v>
      </c>
      <c r="K10" s="105">
        <v>0.005</v>
      </c>
      <c r="L10" s="107">
        <f t="shared" si="0"/>
        <v>163.73056000000003</v>
      </c>
      <c r="M10" s="107">
        <f t="shared" si="1"/>
        <v>8.186528000000001</v>
      </c>
    </row>
    <row r="11" spans="2:13" ht="15">
      <c r="B11" s="177"/>
      <c r="C11" s="184"/>
      <c r="D11" s="176"/>
      <c r="E11" s="101" t="s">
        <v>50</v>
      </c>
      <c r="F11" s="108">
        <f>2.24*0.7637</f>
        <v>1.7106880000000002</v>
      </c>
      <c r="G11" s="103" t="s">
        <v>189</v>
      </c>
      <c r="H11" s="110">
        <v>1800</v>
      </c>
      <c r="I11" s="108">
        <f>F11*H11</f>
        <v>3079.2384</v>
      </c>
      <c r="J11" s="104">
        <v>0.3</v>
      </c>
      <c r="K11" s="105">
        <v>0.017</v>
      </c>
      <c r="L11" s="107">
        <f t="shared" si="0"/>
        <v>923.77152</v>
      </c>
      <c r="M11" s="107">
        <f t="shared" si="1"/>
        <v>52.34705280000001</v>
      </c>
    </row>
    <row r="12" spans="2:13" ht="15">
      <c r="B12" s="177"/>
      <c r="C12" s="184"/>
      <c r="D12" s="176"/>
      <c r="E12" s="101" t="s">
        <v>51</v>
      </c>
      <c r="F12" s="102">
        <v>133.97</v>
      </c>
      <c r="G12" s="108" t="s">
        <v>35</v>
      </c>
      <c r="H12" s="109" t="s">
        <v>24</v>
      </c>
      <c r="I12" s="102">
        <v>133.97</v>
      </c>
      <c r="J12" s="104">
        <v>24.6</v>
      </c>
      <c r="K12" s="105">
        <v>1.71</v>
      </c>
      <c r="L12" s="107">
        <f t="shared" si="0"/>
        <v>3295.6620000000003</v>
      </c>
      <c r="M12" s="107">
        <f t="shared" si="1"/>
        <v>229.0887</v>
      </c>
    </row>
    <row r="13" spans="2:13" ht="15">
      <c r="B13" s="177"/>
      <c r="C13" s="184"/>
      <c r="D13" s="176"/>
      <c r="E13" s="101" t="s">
        <v>52</v>
      </c>
      <c r="F13" s="102">
        <f>(0.03*56)/2</f>
        <v>0.84</v>
      </c>
      <c r="G13" s="103" t="s">
        <v>189</v>
      </c>
      <c r="H13" s="102">
        <v>705</v>
      </c>
      <c r="I13" s="108">
        <f>F13*H13</f>
        <v>592.1999999999999</v>
      </c>
      <c r="J13" s="104">
        <v>7.4</v>
      </c>
      <c r="K13" s="105">
        <v>0.45</v>
      </c>
      <c r="L13" s="107">
        <f t="shared" si="0"/>
        <v>4382.28</v>
      </c>
      <c r="M13" s="107">
        <f t="shared" si="1"/>
        <v>266.48999999999995</v>
      </c>
    </row>
    <row r="14" spans="2:13" ht="15">
      <c r="B14" s="177"/>
      <c r="C14" s="184"/>
      <c r="D14" s="176" t="s">
        <v>20</v>
      </c>
      <c r="E14" s="101" t="s">
        <v>41</v>
      </c>
      <c r="F14" s="102">
        <f>1.98*352</f>
        <v>696.96</v>
      </c>
      <c r="G14" s="108" t="s">
        <v>35</v>
      </c>
      <c r="H14" s="109" t="s">
        <v>24</v>
      </c>
      <c r="I14" s="102">
        <v>696.96</v>
      </c>
      <c r="J14" s="104">
        <v>4.6</v>
      </c>
      <c r="K14" s="105">
        <v>0.83</v>
      </c>
      <c r="L14" s="107">
        <f t="shared" si="0"/>
        <v>3206.016</v>
      </c>
      <c r="M14" s="107">
        <f t="shared" si="1"/>
        <v>578.4768</v>
      </c>
    </row>
    <row r="15" spans="2:13" ht="15">
      <c r="B15" s="177"/>
      <c r="C15" s="184"/>
      <c r="D15" s="176"/>
      <c r="E15" s="101" t="s">
        <v>49</v>
      </c>
      <c r="F15" s="108">
        <f>1.98*0.5221</f>
        <v>1.033758</v>
      </c>
      <c r="G15" s="103" t="s">
        <v>189</v>
      </c>
      <c r="H15" s="110">
        <v>1400</v>
      </c>
      <c r="I15" s="108">
        <f>F15*H15</f>
        <v>1447.2612</v>
      </c>
      <c r="J15" s="104">
        <v>0.1</v>
      </c>
      <c r="K15" s="105">
        <v>0.005</v>
      </c>
      <c r="L15" s="107">
        <f t="shared" si="0"/>
        <v>144.72612</v>
      </c>
      <c r="M15" s="107">
        <f t="shared" si="1"/>
        <v>7.236306</v>
      </c>
    </row>
    <row r="16" spans="2:13" ht="15">
      <c r="B16" s="177"/>
      <c r="C16" s="184"/>
      <c r="D16" s="176"/>
      <c r="E16" s="101" t="s">
        <v>50</v>
      </c>
      <c r="F16" s="108">
        <f>1.98*0.7637</f>
        <v>1.512126</v>
      </c>
      <c r="G16" s="103" t="s">
        <v>189</v>
      </c>
      <c r="H16" s="110">
        <v>1800</v>
      </c>
      <c r="I16" s="108">
        <f>F16*H16</f>
        <v>2721.8268000000003</v>
      </c>
      <c r="J16" s="104">
        <v>0.3</v>
      </c>
      <c r="K16" s="105">
        <v>0.017</v>
      </c>
      <c r="L16" s="107">
        <f t="shared" si="0"/>
        <v>816.54804</v>
      </c>
      <c r="M16" s="107">
        <f t="shared" si="1"/>
        <v>46.27105560000001</v>
      </c>
    </row>
    <row r="17" spans="2:13" ht="15">
      <c r="B17" s="177"/>
      <c r="C17" s="184"/>
      <c r="D17" s="176"/>
      <c r="E17" s="101" t="s">
        <v>51</v>
      </c>
      <c r="F17" s="108">
        <f>2.64*59.81</f>
        <v>157.8984</v>
      </c>
      <c r="G17" s="108" t="s">
        <v>35</v>
      </c>
      <c r="H17" s="109" t="s">
        <v>24</v>
      </c>
      <c r="I17" s="108">
        <v>157.9</v>
      </c>
      <c r="J17" s="104">
        <v>24.6</v>
      </c>
      <c r="K17" s="105">
        <v>1.71</v>
      </c>
      <c r="L17" s="107">
        <f t="shared" si="0"/>
        <v>3884.34</v>
      </c>
      <c r="M17" s="107">
        <f t="shared" si="1"/>
        <v>270.009</v>
      </c>
    </row>
    <row r="18" spans="2:13" ht="15">
      <c r="B18" s="177"/>
      <c r="C18" s="184"/>
      <c r="D18" s="176"/>
      <c r="E18" s="101" t="s">
        <v>52</v>
      </c>
      <c r="F18" s="102">
        <f>((66/2)*0.03)/2</f>
        <v>0.495</v>
      </c>
      <c r="G18" s="103" t="s">
        <v>189</v>
      </c>
      <c r="H18" s="102">
        <v>705</v>
      </c>
      <c r="I18" s="108">
        <f>F18*H18</f>
        <v>348.975</v>
      </c>
      <c r="J18" s="104">
        <v>7.4</v>
      </c>
      <c r="K18" s="105">
        <v>0.45</v>
      </c>
      <c r="L18" s="107">
        <f t="shared" si="0"/>
        <v>2582.4150000000004</v>
      </c>
      <c r="M18" s="107">
        <f t="shared" si="1"/>
        <v>157.03875000000002</v>
      </c>
    </row>
    <row r="19" spans="2:13" ht="6" customHeight="1">
      <c r="B19" s="111"/>
      <c r="C19" s="102"/>
      <c r="D19" s="101"/>
      <c r="E19" s="101"/>
      <c r="F19" s="102"/>
      <c r="G19" s="102"/>
      <c r="H19" s="102"/>
      <c r="I19" s="102"/>
      <c r="J19" s="104"/>
      <c r="K19" s="105"/>
      <c r="L19" s="112"/>
      <c r="M19" s="112"/>
    </row>
    <row r="20" spans="2:13" ht="15">
      <c r="B20" s="177">
        <v>3</v>
      </c>
      <c r="C20" s="178" t="s">
        <v>13</v>
      </c>
      <c r="D20" s="176" t="s">
        <v>180</v>
      </c>
      <c r="E20" s="101" t="s">
        <v>41</v>
      </c>
      <c r="F20" s="102">
        <f>36*10.4</f>
        <v>374.40000000000003</v>
      </c>
      <c r="G20" s="108" t="s">
        <v>35</v>
      </c>
      <c r="H20" s="109" t="s">
        <v>24</v>
      </c>
      <c r="I20" s="102">
        <v>374.4</v>
      </c>
      <c r="J20" s="104">
        <v>4.6</v>
      </c>
      <c r="K20" s="105">
        <v>0.83</v>
      </c>
      <c r="L20" s="107">
        <f>I20*J20</f>
        <v>1722.2399999999998</v>
      </c>
      <c r="M20" s="107">
        <f>I20*K20</f>
        <v>310.75199999999995</v>
      </c>
    </row>
    <row r="21" spans="2:13" ht="15">
      <c r="B21" s="177"/>
      <c r="C21" s="178"/>
      <c r="D21" s="176"/>
      <c r="E21" s="101" t="s">
        <v>49</v>
      </c>
      <c r="F21" s="102">
        <f>36*0.04</f>
        <v>1.44</v>
      </c>
      <c r="G21" s="103" t="s">
        <v>189</v>
      </c>
      <c r="H21" s="110">
        <v>1400</v>
      </c>
      <c r="I21" s="110">
        <f>F21*H21</f>
        <v>2016</v>
      </c>
      <c r="J21" s="104">
        <v>0.1</v>
      </c>
      <c r="K21" s="105">
        <v>0.005</v>
      </c>
      <c r="L21" s="107">
        <f>I21*J21</f>
        <v>201.60000000000002</v>
      </c>
      <c r="M21" s="107">
        <f>I21*K21</f>
        <v>10.08</v>
      </c>
    </row>
    <row r="22" spans="2:13" ht="15">
      <c r="B22" s="177"/>
      <c r="C22" s="178"/>
      <c r="D22" s="101" t="s">
        <v>7</v>
      </c>
      <c r="E22" s="101" t="s">
        <v>48</v>
      </c>
      <c r="F22" s="102">
        <f>36*0.01</f>
        <v>0.36</v>
      </c>
      <c r="G22" s="103" t="s">
        <v>189</v>
      </c>
      <c r="H22" s="102">
        <v>2500</v>
      </c>
      <c r="I22" s="110">
        <f>F22*H22</f>
        <v>900</v>
      </c>
      <c r="J22" s="104">
        <v>9</v>
      </c>
      <c r="K22" s="105">
        <v>0.59</v>
      </c>
      <c r="L22" s="106">
        <f>I22*J22</f>
        <v>8100</v>
      </c>
      <c r="M22" s="106">
        <f>I22*K22</f>
        <v>531</v>
      </c>
    </row>
    <row r="23" spans="2:13" ht="6.75" customHeight="1">
      <c r="B23" s="111"/>
      <c r="C23" s="102"/>
      <c r="D23" s="101"/>
      <c r="E23" s="101"/>
      <c r="F23" s="102"/>
      <c r="G23" s="102"/>
      <c r="H23" s="102"/>
      <c r="I23" s="102"/>
      <c r="J23" s="104"/>
      <c r="K23" s="105"/>
      <c r="L23" s="112"/>
      <c r="M23" s="112"/>
    </row>
    <row r="24" spans="2:13" ht="15">
      <c r="B24" s="177">
        <v>4</v>
      </c>
      <c r="C24" s="178" t="s">
        <v>12</v>
      </c>
      <c r="D24" s="113" t="s">
        <v>4</v>
      </c>
      <c r="E24" s="113" t="s">
        <v>40</v>
      </c>
      <c r="F24" s="114">
        <f>70*124.15*(0.11*0.22*0.05)</f>
        <v>10.515505000000001</v>
      </c>
      <c r="G24" s="103" t="s">
        <v>189</v>
      </c>
      <c r="H24" s="104">
        <v>950</v>
      </c>
      <c r="I24" s="108">
        <f>F24*H24</f>
        <v>9989.72975</v>
      </c>
      <c r="J24" s="104">
        <v>3</v>
      </c>
      <c r="K24" s="115">
        <v>0.22</v>
      </c>
      <c r="L24" s="107">
        <f>I24*J24</f>
        <v>29969.189250000003</v>
      </c>
      <c r="M24" s="107">
        <f>I24*K24</f>
        <v>2197.740545</v>
      </c>
    </row>
    <row r="25" spans="2:13" ht="15">
      <c r="B25" s="177"/>
      <c r="C25" s="178"/>
      <c r="D25" s="176" t="s">
        <v>5</v>
      </c>
      <c r="E25" s="101" t="s">
        <v>41</v>
      </c>
      <c r="F25" s="108">
        <f>124.15*6.24</f>
        <v>774.696</v>
      </c>
      <c r="G25" s="108" t="s">
        <v>35</v>
      </c>
      <c r="H25" s="109" t="s">
        <v>24</v>
      </c>
      <c r="I25" s="108">
        <v>774.7</v>
      </c>
      <c r="J25" s="104">
        <v>4.6</v>
      </c>
      <c r="K25" s="105">
        <v>0.83</v>
      </c>
      <c r="L25" s="107">
        <f>I25*J25</f>
        <v>3563.62</v>
      </c>
      <c r="M25" s="106">
        <f>I25*K25</f>
        <v>643.001</v>
      </c>
    </row>
    <row r="26" spans="2:13" ht="15">
      <c r="B26" s="177"/>
      <c r="C26" s="178"/>
      <c r="D26" s="176"/>
      <c r="E26" s="101" t="s">
        <v>38</v>
      </c>
      <c r="F26" s="108">
        <f>124.15*0.024</f>
        <v>2.9796</v>
      </c>
      <c r="G26" s="103" t="s">
        <v>189</v>
      </c>
      <c r="H26" s="110">
        <v>1400</v>
      </c>
      <c r="I26" s="108">
        <f>F26*H26</f>
        <v>4171.44</v>
      </c>
      <c r="J26" s="104">
        <v>0.1</v>
      </c>
      <c r="K26" s="105">
        <v>0.005</v>
      </c>
      <c r="L26" s="107">
        <f>I26*J26</f>
        <v>417.144</v>
      </c>
      <c r="M26" s="107">
        <f>I26*K26</f>
        <v>20.8572</v>
      </c>
    </row>
    <row r="27" spans="2:13" ht="15">
      <c r="B27" s="177"/>
      <c r="C27" s="178"/>
      <c r="D27" s="116" t="s">
        <v>25</v>
      </c>
      <c r="E27" s="101" t="s">
        <v>42</v>
      </c>
      <c r="F27" s="108">
        <f>(124.15*2)/12</f>
        <v>20.691666666666666</v>
      </c>
      <c r="G27" s="108" t="s">
        <v>39</v>
      </c>
      <c r="H27" s="117">
        <v>1.5</v>
      </c>
      <c r="I27" s="108">
        <f>F27*H27</f>
        <v>31.0375</v>
      </c>
      <c r="J27" s="104">
        <v>20.4</v>
      </c>
      <c r="K27" s="105">
        <v>1.06</v>
      </c>
      <c r="L27" s="107">
        <f>I27*J27</f>
        <v>633.165</v>
      </c>
      <c r="M27" s="107">
        <f>I27*K27</f>
        <v>32.899750000000004</v>
      </c>
    </row>
    <row r="28" spans="2:13" ht="6.75" customHeight="1">
      <c r="B28" s="111"/>
      <c r="C28" s="102"/>
      <c r="D28" s="101"/>
      <c r="E28" s="101"/>
      <c r="F28" s="102"/>
      <c r="G28" s="102"/>
      <c r="H28" s="102"/>
      <c r="I28" s="102"/>
      <c r="J28" s="104"/>
      <c r="K28" s="105"/>
      <c r="L28" s="112"/>
      <c r="M28" s="112"/>
    </row>
    <row r="29" spans="2:13" ht="15">
      <c r="B29" s="177">
        <v>5</v>
      </c>
      <c r="C29" s="178" t="s">
        <v>11</v>
      </c>
      <c r="D29" s="101" t="s">
        <v>17</v>
      </c>
      <c r="E29" s="101" t="s">
        <v>43</v>
      </c>
      <c r="F29" s="118">
        <v>1.379</v>
      </c>
      <c r="G29" s="103" t="s">
        <v>189</v>
      </c>
      <c r="H29" s="119">
        <v>705</v>
      </c>
      <c r="I29" s="108">
        <f aca="true" t="shared" si="2" ref="I29:I32">F29*H29</f>
        <v>972.195</v>
      </c>
      <c r="J29" s="104">
        <v>7.4</v>
      </c>
      <c r="K29" s="105">
        <v>0.45</v>
      </c>
      <c r="L29" s="107">
        <f>I29*J29</f>
        <v>7194.243</v>
      </c>
      <c r="M29" s="107">
        <f>I29*K29</f>
        <v>437.48775</v>
      </c>
    </row>
    <row r="30" spans="2:13" ht="15">
      <c r="B30" s="177"/>
      <c r="C30" s="178"/>
      <c r="D30" s="101" t="s">
        <v>178</v>
      </c>
      <c r="E30" s="101" t="s">
        <v>44</v>
      </c>
      <c r="F30" s="120">
        <f>36*0.0015</f>
        <v>0.054</v>
      </c>
      <c r="G30" s="103" t="s">
        <v>189</v>
      </c>
      <c r="H30" s="120">
        <v>7135</v>
      </c>
      <c r="I30" s="108">
        <f t="shared" si="2"/>
        <v>385.29</v>
      </c>
      <c r="J30" s="104">
        <v>61.9</v>
      </c>
      <c r="K30" s="105">
        <v>3.31</v>
      </c>
      <c r="L30" s="107">
        <f>I30*J30</f>
        <v>23849.451</v>
      </c>
      <c r="M30" s="107">
        <f>I30*K30</f>
        <v>1275.3099000000002</v>
      </c>
    </row>
    <row r="31" spans="2:13" ht="15">
      <c r="B31" s="177"/>
      <c r="C31" s="178"/>
      <c r="D31" s="101" t="s">
        <v>179</v>
      </c>
      <c r="E31" s="101" t="s">
        <v>43</v>
      </c>
      <c r="F31" s="118">
        <v>0.164</v>
      </c>
      <c r="G31" s="103" t="s">
        <v>189</v>
      </c>
      <c r="H31" s="119">
        <v>705</v>
      </c>
      <c r="I31" s="108">
        <f t="shared" si="2"/>
        <v>115.62</v>
      </c>
      <c r="J31" s="104">
        <v>7.4</v>
      </c>
      <c r="K31" s="105">
        <v>0.45</v>
      </c>
      <c r="L31" s="107">
        <f>I31*J31</f>
        <v>855.5880000000001</v>
      </c>
      <c r="M31" s="107">
        <f>I31*K31</f>
        <v>52.029</v>
      </c>
    </row>
    <row r="32" spans="2:13" ht="15">
      <c r="B32" s="177"/>
      <c r="C32" s="178"/>
      <c r="D32" s="101" t="s">
        <v>10</v>
      </c>
      <c r="E32" s="101" t="s">
        <v>45</v>
      </c>
      <c r="F32" s="118">
        <v>0.144</v>
      </c>
      <c r="G32" s="103" t="s">
        <v>189</v>
      </c>
      <c r="H32" s="119">
        <v>705</v>
      </c>
      <c r="I32" s="108">
        <f t="shared" si="2"/>
        <v>101.52</v>
      </c>
      <c r="J32" s="104">
        <v>15</v>
      </c>
      <c r="K32" s="105">
        <v>0.81</v>
      </c>
      <c r="L32" s="107">
        <f>I32*J32</f>
        <v>1522.8</v>
      </c>
      <c r="M32" s="107">
        <f>I32*K32</f>
        <v>82.2312</v>
      </c>
    </row>
    <row r="33" spans="2:13" ht="6.75" customHeight="1">
      <c r="B33" s="111"/>
      <c r="C33" s="102"/>
      <c r="D33" s="101"/>
      <c r="E33" s="101"/>
      <c r="F33" s="102"/>
      <c r="G33" s="102"/>
      <c r="H33" s="102"/>
      <c r="I33" s="102"/>
      <c r="J33" s="104"/>
      <c r="K33" s="105"/>
      <c r="L33" s="112"/>
      <c r="M33" s="112"/>
    </row>
    <row r="34" spans="2:13" ht="15">
      <c r="B34" s="177">
        <v>6</v>
      </c>
      <c r="C34" s="178" t="s">
        <v>15</v>
      </c>
      <c r="D34" s="101" t="s">
        <v>177</v>
      </c>
      <c r="E34" s="101" t="s">
        <v>43</v>
      </c>
      <c r="F34" s="108">
        <v>0.249</v>
      </c>
      <c r="G34" s="103" t="s">
        <v>189</v>
      </c>
      <c r="H34" s="119">
        <v>705</v>
      </c>
      <c r="I34" s="110">
        <f aca="true" t="shared" si="3" ref="I34:I35">F34*H34</f>
        <v>175.545</v>
      </c>
      <c r="J34" s="104">
        <v>7.4</v>
      </c>
      <c r="K34" s="105">
        <v>0.45</v>
      </c>
      <c r="L34" s="107">
        <f aca="true" t="shared" si="4" ref="L34:L35">I34*J34</f>
        <v>1299.033</v>
      </c>
      <c r="M34" s="106">
        <f aca="true" t="shared" si="5" ref="M34:M35">I34*K34</f>
        <v>78.99525</v>
      </c>
    </row>
    <row r="35" spans="2:13" ht="15">
      <c r="B35" s="177"/>
      <c r="C35" s="178"/>
      <c r="D35" s="101" t="s">
        <v>46</v>
      </c>
      <c r="E35" s="101" t="s">
        <v>46</v>
      </c>
      <c r="F35" s="102">
        <v>0.27</v>
      </c>
      <c r="G35" s="103" t="s">
        <v>189</v>
      </c>
      <c r="H35" s="119">
        <v>705</v>
      </c>
      <c r="I35" s="110">
        <f t="shared" si="3"/>
        <v>190.35000000000002</v>
      </c>
      <c r="J35" s="104">
        <v>7.4</v>
      </c>
      <c r="K35" s="105">
        <v>0.45</v>
      </c>
      <c r="L35" s="107">
        <f t="shared" si="4"/>
        <v>1408.5900000000001</v>
      </c>
      <c r="M35" s="107">
        <f t="shared" si="5"/>
        <v>85.65750000000001</v>
      </c>
    </row>
    <row r="36" spans="2:13" ht="15.75" thickBot="1">
      <c r="B36" s="179"/>
      <c r="C36" s="180"/>
      <c r="D36" s="121" t="s">
        <v>9</v>
      </c>
      <c r="E36" s="121" t="s">
        <v>47</v>
      </c>
      <c r="F36" s="122">
        <f>8.6*0.0025</f>
        <v>0.0215</v>
      </c>
      <c r="G36" s="123" t="s">
        <v>189</v>
      </c>
      <c r="H36" s="122">
        <v>2579</v>
      </c>
      <c r="I36" s="124">
        <f>F36*H36</f>
        <v>55.448499999999996</v>
      </c>
      <c r="J36" s="125">
        <v>15</v>
      </c>
      <c r="K36" s="126">
        <v>0.85</v>
      </c>
      <c r="L36" s="127">
        <f>I36*J36</f>
        <v>831.7275</v>
      </c>
      <c r="M36" s="127">
        <f>I36*K36</f>
        <v>47.13122499999999</v>
      </c>
    </row>
    <row r="37" spans="2:13" ht="15.75" thickBot="1">
      <c r="B37" s="181" t="s">
        <v>29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28">
        <f>SUM(L5:L36)</f>
        <v>127714.66199</v>
      </c>
      <c r="M37" s="128">
        <f>SUM(M5:M36)</f>
        <v>10257.4816124</v>
      </c>
    </row>
    <row r="38" spans="2:13" ht="15.75" thickBot="1">
      <c r="B38" s="173" t="s">
        <v>30</v>
      </c>
      <c r="C38" s="174"/>
      <c r="D38" s="174"/>
      <c r="E38" s="174"/>
      <c r="F38" s="174"/>
      <c r="G38" s="174"/>
      <c r="H38" s="174"/>
      <c r="I38" s="174"/>
      <c r="J38" s="174"/>
      <c r="K38" s="175"/>
      <c r="L38" s="129">
        <f>L37/36</f>
        <v>3547.629499722222</v>
      </c>
      <c r="M38" s="130">
        <f>M37/36</f>
        <v>284.9300447888889</v>
      </c>
    </row>
  </sheetData>
  <mergeCells count="29">
    <mergeCell ref="L3:M3"/>
    <mergeCell ref="B5:B7"/>
    <mergeCell ref="C5:C7"/>
    <mergeCell ref="D5:D7"/>
    <mergeCell ref="B9:B18"/>
    <mergeCell ref="C9:C18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B38:K38"/>
    <mergeCell ref="D9:D13"/>
    <mergeCell ref="D14:D18"/>
    <mergeCell ref="B20:B22"/>
    <mergeCell ref="C20:C22"/>
    <mergeCell ref="D20:D21"/>
    <mergeCell ref="B24:B27"/>
    <mergeCell ref="C24:C27"/>
    <mergeCell ref="D25:D26"/>
    <mergeCell ref="B29:B32"/>
    <mergeCell ref="C29:C32"/>
    <mergeCell ref="B34:B36"/>
    <mergeCell ref="C34:C36"/>
    <mergeCell ref="B37:K3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SONY VAIO</cp:lastModifiedBy>
  <dcterms:created xsi:type="dcterms:W3CDTF">2018-05-30T02:19:02Z</dcterms:created>
  <dcterms:modified xsi:type="dcterms:W3CDTF">2020-11-18T11:37:08Z</dcterms:modified>
  <cp:category/>
  <cp:version/>
  <cp:contentType/>
  <cp:contentStatus/>
</cp:coreProperties>
</file>